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en/Dropbox/Pessoal/University/Viex/Demo_Viex/"/>
    </mc:Choice>
  </mc:AlternateContent>
  <xr:revisionPtr revIDLastSave="0" documentId="13_ncr:1_{3FF943DB-B5CA-544D-9998-7FACCBEF11AD}" xr6:coauthVersionLast="46" xr6:coauthVersionMax="46" xr10:uidLastSave="{00000000-0000-0000-0000-000000000000}"/>
  <bookViews>
    <workbookView xWindow="0" yWindow="500" windowWidth="28800" windowHeight="15940" activeTab="3" xr2:uid="{48DAB5A8-705F-7E47-931A-7A120F1CDE3F}"/>
  </bookViews>
  <sheets>
    <sheet name="ContaT" sheetId="1" r:id="rId1"/>
    <sheet name="DER" sheetId="2" r:id="rId2"/>
    <sheet name="Balanco" sheetId="3" r:id="rId3"/>
    <sheet name="Indice" sheetId="4" r:id="rId4"/>
    <sheet name="FluxodeCaxiavsVPL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4" l="1"/>
  <c r="D12" i="4"/>
  <c r="C12" i="4"/>
  <c r="C5" i="4"/>
  <c r="C4" i="4"/>
  <c r="C10" i="5"/>
  <c r="C7" i="5"/>
  <c r="C6" i="5"/>
  <c r="C5" i="5"/>
  <c r="C4" i="5"/>
  <c r="C3" i="5"/>
  <c r="D74" i="1"/>
  <c r="V40" i="1" s="1"/>
  <c r="D73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C10" i="2"/>
  <c r="W45" i="1"/>
  <c r="AD10" i="1"/>
  <c r="AD5" i="1"/>
  <c r="F74" i="1"/>
  <c r="AD24" i="1" s="1"/>
  <c r="AD29" i="1" s="1"/>
  <c r="C20" i="3" s="1"/>
  <c r="AC29" i="1"/>
  <c r="V45" i="1" l="1"/>
  <c r="D12" i="1"/>
  <c r="AC5" i="1"/>
  <c r="AC10" i="1" s="1"/>
  <c r="C20" i="5"/>
  <c r="C21" i="5" s="1"/>
  <c r="C22" i="5" s="1"/>
  <c r="C18" i="5"/>
  <c r="M26" i="5"/>
  <c r="C18" i="3"/>
  <c r="V24" i="1"/>
  <c r="V29" i="1" s="1"/>
  <c r="U29" i="1"/>
  <c r="F71" i="1"/>
  <c r="D10" i="1" s="1"/>
  <c r="C9" i="3" l="1"/>
  <c r="E6" i="5"/>
  <c r="E5" i="5"/>
  <c r="C26" i="5"/>
  <c r="C29" i="5" s="1"/>
  <c r="C11" i="5"/>
  <c r="D17" i="5"/>
  <c r="E17" i="5" s="1"/>
  <c r="F17" i="5" s="1"/>
  <c r="G17" i="5" s="1"/>
  <c r="H17" i="5" s="1"/>
  <c r="I17" i="5" s="1"/>
  <c r="J17" i="5" s="1"/>
  <c r="K17" i="5" s="1"/>
  <c r="L17" i="5" s="1"/>
  <c r="M17" i="5" s="1"/>
  <c r="N17" i="5" s="1"/>
  <c r="O17" i="5" s="1"/>
  <c r="P17" i="5" s="1"/>
  <c r="Q17" i="5" s="1"/>
  <c r="R17" i="5" s="1"/>
  <c r="S17" i="5" s="1"/>
  <c r="T17" i="5" s="1"/>
  <c r="U17" i="5" s="1"/>
  <c r="V17" i="5" s="1"/>
  <c r="W17" i="5" s="1"/>
  <c r="E7" i="5"/>
  <c r="E4" i="5"/>
  <c r="S45" i="1"/>
  <c r="N40" i="1"/>
  <c r="O45" i="1"/>
  <c r="E3" i="5" l="1"/>
  <c r="I19" i="5" s="1"/>
  <c r="N45" i="1"/>
  <c r="C9" i="2" s="1"/>
  <c r="C8" i="2" s="1"/>
  <c r="U19" i="5" l="1"/>
  <c r="U28" i="5" s="1"/>
  <c r="O19" i="5"/>
  <c r="O20" i="5" s="1"/>
  <c r="O21" i="5" s="1"/>
  <c r="O22" i="5" s="1"/>
  <c r="O27" i="5" s="1"/>
  <c r="N19" i="5"/>
  <c r="N20" i="5" s="1"/>
  <c r="S19" i="5"/>
  <c r="S28" i="5" s="1"/>
  <c r="W19" i="5"/>
  <c r="R19" i="5"/>
  <c r="R20" i="5" s="1"/>
  <c r="R21" i="5" s="1"/>
  <c r="R22" i="5" s="1"/>
  <c r="R27" i="5" s="1"/>
  <c r="Q19" i="5"/>
  <c r="V19" i="5"/>
  <c r="V20" i="5" s="1"/>
  <c r="V21" i="5" s="1"/>
  <c r="V22" i="5" s="1"/>
  <c r="V27" i="5" s="1"/>
  <c r="P19" i="5"/>
  <c r="P20" i="5" s="1"/>
  <c r="P21" i="5" s="1"/>
  <c r="P22" i="5" s="1"/>
  <c r="P27" i="5" s="1"/>
  <c r="T19" i="5"/>
  <c r="T28" i="5" s="1"/>
  <c r="H19" i="5"/>
  <c r="H28" i="5" s="1"/>
  <c r="D19" i="5"/>
  <c r="D20" i="5" s="1"/>
  <c r="D21" i="5" s="1"/>
  <c r="D22" i="5" s="1"/>
  <c r="D27" i="5" s="1"/>
  <c r="W20" i="5"/>
  <c r="W21" i="5" s="1"/>
  <c r="W22" i="5" s="1"/>
  <c r="W27" i="5" s="1"/>
  <c r="Q20" i="5"/>
  <c r="Q21" i="5" s="1"/>
  <c r="Q22" i="5" s="1"/>
  <c r="Q27" i="5" s="1"/>
  <c r="F19" i="5"/>
  <c r="F28" i="5" s="1"/>
  <c r="L19" i="5"/>
  <c r="L28" i="5" s="1"/>
  <c r="K19" i="5"/>
  <c r="K20" i="5" s="1"/>
  <c r="K21" i="5" s="1"/>
  <c r="K22" i="5" s="1"/>
  <c r="K27" i="5" s="1"/>
  <c r="T20" i="5"/>
  <c r="T21" i="5" s="1"/>
  <c r="T22" i="5" s="1"/>
  <c r="T27" i="5" s="1"/>
  <c r="G19" i="5"/>
  <c r="G20" i="5" s="1"/>
  <c r="E19" i="5"/>
  <c r="E28" i="5" s="1"/>
  <c r="J19" i="5"/>
  <c r="J28" i="5" s="1"/>
  <c r="M19" i="5"/>
  <c r="M20" i="5" s="1"/>
  <c r="I28" i="5"/>
  <c r="I20" i="5"/>
  <c r="I21" i="5" s="1"/>
  <c r="I22" i="5" s="1"/>
  <c r="I27" i="5" s="1"/>
  <c r="AA40" i="1"/>
  <c r="AA45" i="1" s="1"/>
  <c r="C12" i="3" s="1"/>
  <c r="AB45" i="1"/>
  <c r="P24" i="1"/>
  <c r="P29" i="1" s="1"/>
  <c r="O29" i="1"/>
  <c r="C13" i="2" l="1"/>
  <c r="I29" i="5"/>
  <c r="F20" i="5"/>
  <c r="F21" i="5" s="1"/>
  <c r="F22" i="5" s="1"/>
  <c r="F27" i="5" s="1"/>
  <c r="F29" i="5" s="1"/>
  <c r="T29" i="5"/>
  <c r="K28" i="5"/>
  <c r="K29" i="5" s="1"/>
  <c r="D28" i="5"/>
  <c r="U20" i="5"/>
  <c r="U21" i="5" s="1"/>
  <c r="U22" i="5" s="1"/>
  <c r="U27" i="5" s="1"/>
  <c r="U29" i="5" s="1"/>
  <c r="H20" i="5"/>
  <c r="H21" i="5" s="1"/>
  <c r="H22" i="5" s="1"/>
  <c r="H27" i="5" s="1"/>
  <c r="H29" i="5" s="1"/>
  <c r="P28" i="5"/>
  <c r="P29" i="5" s="1"/>
  <c r="O28" i="5"/>
  <c r="O29" i="5" s="1"/>
  <c r="V28" i="5"/>
  <c r="V29" i="5" s="1"/>
  <c r="R28" i="5"/>
  <c r="R29" i="5" s="1"/>
  <c r="N28" i="5"/>
  <c r="J20" i="5"/>
  <c r="J21" i="5" s="1"/>
  <c r="J22" i="5" s="1"/>
  <c r="J27" i="5" s="1"/>
  <c r="J29" i="5" s="1"/>
  <c r="L20" i="5"/>
  <c r="L21" i="5" s="1"/>
  <c r="L22" i="5" s="1"/>
  <c r="L27" i="5" s="1"/>
  <c r="L29" i="5" s="1"/>
  <c r="Q28" i="5"/>
  <c r="Q29" i="5" s="1"/>
  <c r="G28" i="5"/>
  <c r="E20" i="5"/>
  <c r="E21" i="5" s="1"/>
  <c r="E22" i="5" s="1"/>
  <c r="E27" i="5" s="1"/>
  <c r="E29" i="5" s="1"/>
  <c r="W28" i="5"/>
  <c r="W29" i="5" s="1"/>
  <c r="S20" i="5"/>
  <c r="S21" i="5" s="1"/>
  <c r="S22" i="5" s="1"/>
  <c r="S27" i="5" s="1"/>
  <c r="S29" i="5" s="1"/>
  <c r="M28" i="5"/>
  <c r="N21" i="5"/>
  <c r="N22" i="5" s="1"/>
  <c r="N27" i="5" s="1"/>
  <c r="D29" i="5"/>
  <c r="G21" i="5"/>
  <c r="G22" i="5" s="1"/>
  <c r="G27" i="5" s="1"/>
  <c r="G29" i="5" s="1"/>
  <c r="M21" i="5"/>
  <c r="M22" i="5" s="1"/>
  <c r="M27" i="5" s="1"/>
  <c r="C9" i="1"/>
  <c r="C21" i="3"/>
  <c r="L6" i="1"/>
  <c r="K41" i="1"/>
  <c r="K40" i="1"/>
  <c r="J45" i="1"/>
  <c r="C8" i="1"/>
  <c r="P7" i="1"/>
  <c r="G41" i="1" s="1"/>
  <c r="P6" i="1"/>
  <c r="G40" i="1" s="1"/>
  <c r="C73" i="4" l="1"/>
  <c r="C19" i="3"/>
  <c r="K45" i="1"/>
  <c r="D72" i="1" s="1"/>
  <c r="R40" i="1" s="1"/>
  <c r="R45" i="1" s="1"/>
  <c r="M29" i="5"/>
  <c r="N29" i="5"/>
  <c r="G45" i="1"/>
  <c r="H45" i="1"/>
  <c r="L24" i="1"/>
  <c r="L29" i="1" s="1"/>
  <c r="C4" i="2"/>
  <c r="X6" i="1"/>
  <c r="X13" i="1" s="1"/>
  <c r="C6" i="3" s="1"/>
  <c r="C33" i="4" s="1"/>
  <c r="Y13" i="1"/>
  <c r="D9" i="1"/>
  <c r="O6" i="1" s="1"/>
  <c r="D8" i="1"/>
  <c r="C40" i="1" s="1"/>
  <c r="C45" i="1" s="1"/>
  <c r="C12" i="2" s="1"/>
  <c r="C83" i="4" s="1"/>
  <c r="D45" i="1"/>
  <c r="H24" i="1"/>
  <c r="C7" i="1" s="1"/>
  <c r="D7" i="1"/>
  <c r="K6" i="1" s="1"/>
  <c r="K13" i="1" s="1"/>
  <c r="C11" i="3" s="1"/>
  <c r="D6" i="1"/>
  <c r="D24" i="1"/>
  <c r="D29" i="1" s="1"/>
  <c r="K29" i="1"/>
  <c r="L13" i="1"/>
  <c r="H13" i="1"/>
  <c r="G29" i="1"/>
  <c r="C29" i="1"/>
  <c r="G6" i="1" l="1"/>
  <c r="G13" i="1" s="1"/>
  <c r="C10" i="3" s="1"/>
  <c r="C8" i="3" s="1"/>
  <c r="C57" i="4" s="1"/>
  <c r="D11" i="1"/>
  <c r="D13" i="1" s="1"/>
  <c r="C5" i="2"/>
  <c r="C98" i="4"/>
  <c r="C49" i="4"/>
  <c r="C91" i="4"/>
  <c r="C34" i="4"/>
  <c r="E33" i="4" s="1"/>
  <c r="C104" i="4"/>
  <c r="C56" i="4"/>
  <c r="C30" i="5"/>
  <c r="C23" i="3"/>
  <c r="C17" i="3"/>
  <c r="C41" i="4" s="1"/>
  <c r="O7" i="1"/>
  <c r="O13" i="1" s="1"/>
  <c r="C42" i="4" s="1"/>
  <c r="P13" i="1"/>
  <c r="H29" i="1"/>
  <c r="C16" i="3" s="1"/>
  <c r="C6" i="1"/>
  <c r="C13" i="1" s="1"/>
  <c r="C15" i="3" l="1"/>
  <c r="C15" i="1"/>
  <c r="O15" i="1"/>
  <c r="C6" i="2"/>
  <c r="E41" i="4"/>
  <c r="C5" i="3"/>
  <c r="E56" i="4"/>
  <c r="C7" i="3"/>
  <c r="C26" i="4" l="1"/>
  <c r="C7" i="2"/>
  <c r="C64" i="4"/>
  <c r="D20" i="4"/>
  <c r="C27" i="4"/>
  <c r="C4" i="3"/>
  <c r="E4" i="4" l="1"/>
  <c r="E12" i="4"/>
  <c r="C90" i="4"/>
  <c r="E90" i="4" s="1"/>
  <c r="C3" i="3"/>
  <c r="C20" i="4"/>
  <c r="E20" i="4" s="1"/>
  <c r="E26" i="4"/>
  <c r="C65" i="4" l="1"/>
  <c r="E64" i="4" s="1"/>
  <c r="C112" i="4"/>
  <c r="C50" i="4"/>
  <c r="E49" i="4" s="1"/>
  <c r="C11" i="2" l="1"/>
  <c r="C82" i="4" s="1"/>
  <c r="E82" i="4" s="1"/>
  <c r="C14" i="2" l="1"/>
  <c r="C97" i="4"/>
  <c r="E97" i="4" s="1"/>
  <c r="C24" i="3" l="1"/>
  <c r="C22" i="3" s="1"/>
  <c r="C103" i="4"/>
  <c r="E103" i="4" s="1"/>
  <c r="C120" i="4"/>
  <c r="C111" i="4"/>
  <c r="E111" i="4" s="1"/>
  <c r="C14" i="3" l="1"/>
  <c r="C27" i="3" s="1"/>
  <c r="C121" i="4"/>
  <c r="E120" i="4" s="1"/>
  <c r="C74" i="4"/>
  <c r="E73" i="4" s="1"/>
</calcChain>
</file>

<file path=xl/sharedStrings.xml><?xml version="1.0" encoding="utf-8"?>
<sst xmlns="http://schemas.openxmlformats.org/spreadsheetml/2006/main" count="175" uniqueCount="96">
  <si>
    <t>D</t>
  </si>
  <si>
    <t>C</t>
  </si>
  <si>
    <t>Caixa</t>
  </si>
  <si>
    <t>Patrimonio Liquido</t>
  </si>
  <si>
    <t>Financiamento</t>
  </si>
  <si>
    <t>Terreno</t>
  </si>
  <si>
    <t>Equipamentos</t>
  </si>
  <si>
    <t>Vendas</t>
  </si>
  <si>
    <t>Aporte de Capital</t>
  </si>
  <si>
    <t>R$</t>
  </si>
  <si>
    <t>D/C</t>
  </si>
  <si>
    <t>Compra de Terreno</t>
  </si>
  <si>
    <t>Compra de Equipamentos</t>
  </si>
  <si>
    <t>Financiamento Kgiro</t>
  </si>
  <si>
    <t>Pagamento de Juros</t>
  </si>
  <si>
    <t>Duplicatas a receber</t>
  </si>
  <si>
    <t>Venda a Vista</t>
  </si>
  <si>
    <t>Estoque</t>
  </si>
  <si>
    <t>Compra de Mercadorias</t>
  </si>
  <si>
    <t>Venda a  Prazo</t>
  </si>
  <si>
    <t>DER</t>
  </si>
  <si>
    <t>CMV</t>
  </si>
  <si>
    <t>Despesas Financeira</t>
  </si>
  <si>
    <t>Ativo</t>
  </si>
  <si>
    <t>Dupicatas a Receber</t>
  </si>
  <si>
    <t>Passivo</t>
  </si>
  <si>
    <t>Compra a Prazo Fornecedor</t>
  </si>
  <si>
    <t>Capital Social</t>
  </si>
  <si>
    <t>Custo da Mercadoria Vendida (CMV)</t>
  </si>
  <si>
    <t>Receita</t>
  </si>
  <si>
    <t>Financiamento De Longo Prazo</t>
  </si>
  <si>
    <t>Financiamento de Longo Prazo</t>
  </si>
  <si>
    <t>Ativo Circulante</t>
  </si>
  <si>
    <t>Ativo Permanente</t>
  </si>
  <si>
    <t>Depreciação</t>
  </si>
  <si>
    <t>Depreciação Equipamento</t>
  </si>
  <si>
    <t>X360</t>
  </si>
  <si>
    <t>Duplicatas A Pagar</t>
  </si>
  <si>
    <t>Despesas Operacionais</t>
  </si>
  <si>
    <t>LAJIR</t>
  </si>
  <si>
    <t>Indice de Liquidez Corrente=</t>
  </si>
  <si>
    <t>Indice de Liquidez Seca=</t>
  </si>
  <si>
    <t>CAPITAL DE GIRO LÍQUIDO   (CIRCULANTE) =</t>
  </si>
  <si>
    <t>GIRO DOS ESTOQUES =</t>
  </si>
  <si>
    <t>PERÍODO MÉDIO DE COBRANÇA =</t>
  </si>
  <si>
    <t>PERÍODO MÉDIO DE PAGAMENTO =</t>
  </si>
  <si>
    <t>GIRO DO ATIVO TOTAL=</t>
  </si>
  <si>
    <t>GIRO DO ATIVO PERMANENTE =</t>
  </si>
  <si>
    <t>ENDIVIDAMENTO GERAL=</t>
  </si>
  <si>
    <t>ÍNDICE EXIGÍVEL A L.P. – PATRIMÔNIO LÍQUIDO  =</t>
  </si>
  <si>
    <t>COBERTURA DE JUROS  =</t>
  </si>
  <si>
    <t>MARGEM BRUTA =</t>
  </si>
  <si>
    <t>MARGEM OPERACIONAL =</t>
  </si>
  <si>
    <t>MARGEM LÍQUIDA =</t>
  </si>
  <si>
    <t>RETORNO SOBRE O INVESTIMENTO: (ROI) =</t>
  </si>
  <si>
    <t>RETORNO SOBRE O PATRIMÔNIO LÍQUIDO: (ROE) =</t>
  </si>
  <si>
    <t>Aplicação</t>
  </si>
  <si>
    <t>Origem</t>
  </si>
  <si>
    <t>Resultado</t>
  </si>
  <si>
    <t>Passivo não Circulante</t>
  </si>
  <si>
    <t>Passivo Circulante</t>
  </si>
  <si>
    <t>Lucros/Prejuizo Acumulados</t>
  </si>
  <si>
    <t>Lucro/Prejuizo</t>
  </si>
  <si>
    <t>Check</t>
  </si>
  <si>
    <t>Salarios</t>
  </si>
  <si>
    <t>Impostos sobre Venda</t>
  </si>
  <si>
    <t>Impostos sobre Vendas</t>
  </si>
  <si>
    <t>Lucro Bruto</t>
  </si>
  <si>
    <t>aquisicao de Painel PhotoVoltaico</t>
  </si>
  <si>
    <t>aquisicao de Tracking</t>
  </si>
  <si>
    <t>aquisicao de Inversor</t>
  </si>
  <si>
    <t>Projeto</t>
  </si>
  <si>
    <t>Engenharia</t>
  </si>
  <si>
    <t>Investimento</t>
  </si>
  <si>
    <t>Depreciação /Amortizamento Ano</t>
  </si>
  <si>
    <t>Receita Anual</t>
  </si>
  <si>
    <t>Impostos</t>
  </si>
  <si>
    <t>Ano</t>
  </si>
  <si>
    <t>Depreciação &amp; Amortização</t>
  </si>
  <si>
    <t xml:space="preserve">Impostos </t>
  </si>
  <si>
    <t>VPL</t>
  </si>
  <si>
    <t>Taxa de desconto</t>
  </si>
  <si>
    <t xml:space="preserve">Lucro </t>
  </si>
  <si>
    <t>Fluxo de Caixa</t>
  </si>
  <si>
    <t>Lucro Antes do Impostos</t>
  </si>
  <si>
    <t>Lucro</t>
  </si>
  <si>
    <t xml:space="preserve">Saldo </t>
  </si>
  <si>
    <t>Investimentos</t>
  </si>
  <si>
    <t>Lancamento de Férias&amp;13 Terceiro</t>
  </si>
  <si>
    <t>Provisão de Férias &amp; 13 salarios</t>
  </si>
  <si>
    <t>Provisao Salarios &amp; 13 terceiro</t>
  </si>
  <si>
    <t xml:space="preserve">Prazo de PPA </t>
  </si>
  <si>
    <t>Despesas Salarios Diretoria</t>
  </si>
  <si>
    <t>Contrato de locação Leasing Back de 15 anos valor anual</t>
  </si>
  <si>
    <t>Leasing Back Imovel</t>
  </si>
  <si>
    <t>Leasing 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</si>
</sst>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$&quot;#,##0.00_);[Red]\(&quot;$&quot;#,##0.00\)"/>
    <numFmt numFmtId="165" formatCode="_(* #,##0.00_);_(* \(#,##0.00\);_(* &quot;-&quot;??_);_(@_)"/>
    <numFmt numFmtId="166" formatCode="_-* #,##0_-;\-* #,##0_-;_-* &quot;-&quot;??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2" tint="-0.899990844447157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3" fontId="0" fillId="0" borderId="0" xfId="1" applyFont="1"/>
    <xf numFmtId="0" fontId="2" fillId="0" borderId="2" xfId="0" applyFont="1" applyBorder="1"/>
    <xf numFmtId="43" fontId="2" fillId="0" borderId="0" xfId="1" applyFont="1"/>
    <xf numFmtId="0" fontId="2" fillId="2" borderId="0" xfId="0" applyFont="1" applyFill="1"/>
    <xf numFmtId="43" fontId="2" fillId="0" borderId="2" xfId="1" applyFont="1" applyBorder="1"/>
    <xf numFmtId="43" fontId="2" fillId="2" borderId="0" xfId="1" applyFont="1" applyFill="1"/>
    <xf numFmtId="0" fontId="2" fillId="0" borderId="0" xfId="0" applyFont="1" applyBorder="1"/>
    <xf numFmtId="43" fontId="2" fillId="0" borderId="0" xfId="1" applyFont="1" applyBorder="1"/>
    <xf numFmtId="0" fontId="0" fillId="0" borderId="0" xfId="0" applyFont="1" applyFill="1" applyBorder="1"/>
    <xf numFmtId="0" fontId="2" fillId="0" borderId="0" xfId="0" applyFont="1"/>
    <xf numFmtId="0" fontId="0" fillId="4" borderId="7" xfId="0" applyFont="1" applyFill="1" applyBorder="1"/>
    <xf numFmtId="0" fontId="0" fillId="4" borderId="8" xfId="0" applyFont="1" applyFill="1" applyBorder="1"/>
    <xf numFmtId="0" fontId="0" fillId="4" borderId="9" xfId="0" applyFont="1" applyFill="1" applyBorder="1"/>
    <xf numFmtId="0" fontId="0" fillId="4" borderId="0" xfId="0" applyFont="1" applyFill="1"/>
    <xf numFmtId="0" fontId="2" fillId="4" borderId="5" xfId="0" applyFont="1" applyFill="1" applyBorder="1"/>
    <xf numFmtId="43" fontId="0" fillId="4" borderId="6" xfId="0" applyNumberFormat="1" applyFont="1" applyFill="1" applyBorder="1"/>
    <xf numFmtId="0" fontId="0" fillId="4" borderId="0" xfId="0" applyFont="1" applyFill="1" applyBorder="1"/>
    <xf numFmtId="43" fontId="0" fillId="4" borderId="10" xfId="1" applyFont="1" applyFill="1" applyBorder="1"/>
    <xf numFmtId="0" fontId="0" fillId="4" borderId="5" xfId="0" applyFont="1" applyFill="1" applyBorder="1"/>
    <xf numFmtId="43" fontId="0" fillId="4" borderId="0" xfId="0" applyNumberFormat="1" applyFont="1" applyFill="1" applyBorder="1"/>
    <xf numFmtId="0" fontId="0" fillId="4" borderId="10" xfId="0" applyFont="1" applyFill="1" applyBorder="1"/>
    <xf numFmtId="0" fontId="0" fillId="4" borderId="11" xfId="0" applyFont="1" applyFill="1" applyBorder="1"/>
    <xf numFmtId="0" fontId="0" fillId="4" borderId="6" xfId="0" applyFont="1" applyFill="1" applyBorder="1"/>
    <xf numFmtId="0" fontId="0" fillId="4" borderId="12" xfId="0" applyFont="1" applyFill="1" applyBorder="1"/>
    <xf numFmtId="43" fontId="0" fillId="4" borderId="10" xfId="0" applyNumberFormat="1" applyFont="1" applyFill="1" applyBorder="1"/>
    <xf numFmtId="166" fontId="0" fillId="4" borderId="10" xfId="0" applyNumberFormat="1" applyFont="1" applyFill="1" applyBorder="1"/>
    <xf numFmtId="0" fontId="3" fillId="4" borderId="5" xfId="0" applyFont="1" applyFill="1" applyBorder="1" applyAlignment="1">
      <alignment horizontal="left" vertical="center" readingOrder="1"/>
    </xf>
    <xf numFmtId="43" fontId="0" fillId="4" borderId="0" xfId="1" applyFont="1" applyFill="1" applyBorder="1"/>
    <xf numFmtId="0" fontId="3" fillId="4" borderId="5" xfId="0" applyFont="1" applyFill="1" applyBorder="1"/>
    <xf numFmtId="43" fontId="0" fillId="4" borderId="9" xfId="1" applyFont="1" applyFill="1" applyBorder="1"/>
    <xf numFmtId="0" fontId="0" fillId="4" borderId="0" xfId="0" applyFill="1"/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43" fontId="0" fillId="4" borderId="0" xfId="1" applyFont="1" applyFill="1"/>
    <xf numFmtId="43" fontId="0" fillId="4" borderId="5" xfId="1" applyFont="1" applyFill="1" applyBorder="1"/>
    <xf numFmtId="0" fontId="0" fillId="4" borderId="0" xfId="0" applyFill="1" applyBorder="1"/>
    <xf numFmtId="43" fontId="0" fillId="4" borderId="2" xfId="1" applyFont="1" applyFill="1" applyBorder="1"/>
    <xf numFmtId="43" fontId="0" fillId="4" borderId="3" xfId="1" applyFont="1" applyFill="1" applyBorder="1"/>
    <xf numFmtId="43" fontId="0" fillId="4" borderId="5" xfId="0" applyNumberFormat="1" applyFill="1" applyBorder="1"/>
    <xf numFmtId="0" fontId="0" fillId="4" borderId="5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20" xfId="0" applyFill="1" applyBorder="1"/>
    <xf numFmtId="0" fontId="5" fillId="4" borderId="14" xfId="0" applyFont="1" applyFill="1" applyBorder="1"/>
    <xf numFmtId="0" fontId="0" fillId="4" borderId="16" xfId="0" applyFill="1" applyBorder="1" applyAlignment="1">
      <alignment horizontal="center"/>
    </xf>
    <xf numFmtId="0" fontId="5" fillId="4" borderId="0" xfId="0" applyFont="1" applyFill="1" applyBorder="1"/>
    <xf numFmtId="0" fontId="4" fillId="4" borderId="16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5" fontId="0" fillId="4" borderId="0" xfId="0" applyNumberFormat="1" applyFill="1" applyBorder="1"/>
    <xf numFmtId="165" fontId="0" fillId="3" borderId="0" xfId="0" applyNumberFormat="1" applyFill="1"/>
    <xf numFmtId="0" fontId="0" fillId="4" borderId="6" xfId="0" applyFill="1" applyBorder="1" applyAlignment="1">
      <alignment horizontal="center"/>
    </xf>
    <xf numFmtId="0" fontId="0" fillId="3" borderId="0" xfId="0" applyFill="1"/>
    <xf numFmtId="166" fontId="0" fillId="4" borderId="0" xfId="1" applyNumberFormat="1" applyFont="1" applyFill="1" applyBorder="1"/>
    <xf numFmtId="166" fontId="0" fillId="3" borderId="0" xfId="0" applyNumberFormat="1" applyFill="1"/>
    <xf numFmtId="43" fontId="0" fillId="0" borderId="6" xfId="0" applyNumberFormat="1" applyFont="1" applyFill="1" applyBorder="1"/>
    <xf numFmtId="166" fontId="0" fillId="0" borderId="0" xfId="1" applyNumberFormat="1" applyFont="1"/>
    <xf numFmtId="166" fontId="0" fillId="0" borderId="0" xfId="0" applyNumberFormat="1"/>
    <xf numFmtId="9" fontId="0" fillId="0" borderId="0" xfId="0" applyNumberFormat="1"/>
    <xf numFmtId="164" fontId="0" fillId="0" borderId="0" xfId="0" applyNumberFormat="1"/>
    <xf numFmtId="166" fontId="0" fillId="3" borderId="0" xfId="1" applyNumberFormat="1" applyFont="1" applyFill="1"/>
    <xf numFmtId="165" fontId="0" fillId="0" borderId="0" xfId="0" applyNumberFormat="1"/>
    <xf numFmtId="0" fontId="0" fillId="4" borderId="6" xfId="0" applyFill="1" applyBorder="1" applyAlignment="1">
      <alignment horizontal="center"/>
    </xf>
    <xf numFmtId="165" fontId="0" fillId="4" borderId="0" xfId="0" applyNumberFormat="1" applyFill="1"/>
    <xf numFmtId="0" fontId="4" fillId="4" borderId="17" xfId="0" applyFont="1" applyFill="1" applyBorder="1"/>
    <xf numFmtId="43" fontId="0" fillId="0" borderId="0" xfId="1" applyFont="1" applyFill="1"/>
    <xf numFmtId="43" fontId="1" fillId="0" borderId="0" xfId="1" applyFont="1"/>
    <xf numFmtId="0" fontId="6" fillId="4" borderId="14" xfId="0" applyFont="1" applyFill="1" applyBorder="1"/>
    <xf numFmtId="0" fontId="0" fillId="4" borderId="6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6</xdr:row>
      <xdr:rowOff>12700</xdr:rowOff>
    </xdr:from>
    <xdr:to>
      <xdr:col>3</xdr:col>
      <xdr:colOff>412765</xdr:colOff>
      <xdr:row>7</xdr:row>
      <xdr:rowOff>123881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5EBDAA81-2E41-1F46-A8EB-A6BF352AF3DD}"/>
                </a:ext>
              </a:extLst>
            </xdr:cNvPr>
            <xdr:cNvSpPr txBox="1"/>
          </xdr:nvSpPr>
          <xdr:spPr>
            <a:xfrm>
              <a:off x="977900" y="1231900"/>
              <a:ext cx="4286265" cy="31438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400">
                  <a:latin typeface="+mj-lt"/>
                </a:rPr>
                <a:t>ILC</a:t>
              </a:r>
              <a14:m>
                <m:oMath xmlns:m="http://schemas.openxmlformats.org/officeDocument/2006/math">
                  <m:r>
                    <a:rPr lang="en-GB" sz="1400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GB" sz="1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400">
                          <a:latin typeface="Cambria Math" panose="02040503050406030204" pitchFamily="18" charset="0"/>
                        </a:rPr>
                        <m:t>𝐴𝑡𝑖𝑣𝑜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𝐶𝑖𝑟𝑐𝑢𝑙𝑎𝑛𝑡𝑒</m:t>
                      </m:r>
                    </m:num>
                    <m:den>
                      <m:r>
                        <a:rPr lang="en-US" sz="1400">
                          <a:latin typeface="Cambria Math" panose="02040503050406030204" pitchFamily="18" charset="0"/>
                        </a:rPr>
                        <m:t>𝑃</m:t>
                      </m:r>
                      <m:r>
                        <a:rPr lang="en-GB" sz="1400">
                          <a:latin typeface="Cambria Math" panose="02040503050406030204" pitchFamily="18" charset="0"/>
                        </a:rPr>
                        <m:t>𝑎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𝑠𝑠𝑖𝑣𝑜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𝐶𝑖𝑟𝑐𝑢𝑙𝑎𝑛𝑡𝑒</m:t>
                      </m:r>
                    </m:den>
                  </m:f>
                </m:oMath>
              </a14:m>
              <a:endParaRPr lang="en-GB" sz="1400">
                <a:latin typeface="+mj-lt"/>
              </a:endParaRPr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5EBDAA81-2E41-1F46-A8EB-A6BF352AF3DD}"/>
                </a:ext>
              </a:extLst>
            </xdr:cNvPr>
            <xdr:cNvSpPr txBox="1"/>
          </xdr:nvSpPr>
          <xdr:spPr>
            <a:xfrm>
              <a:off x="977900" y="1231900"/>
              <a:ext cx="4286265" cy="31438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400">
                  <a:latin typeface="+mj-lt"/>
                </a:rPr>
                <a:t>ILC</a:t>
              </a:r>
              <a:r>
                <a:rPr lang="en-GB" sz="1400" i="0">
                  <a:latin typeface="+mj-lt"/>
                </a:rPr>
                <a:t>=(</a:t>
              </a:r>
              <a:r>
                <a:rPr lang="en-US" sz="1400" i="0">
                  <a:latin typeface="+mj-lt"/>
                </a:rPr>
                <a:t>𝐴𝑡𝑖𝑣𝑜 𝐶𝑖𝑟𝑐𝑢𝑙𝑎𝑛𝑡𝑒</a:t>
              </a:r>
              <a:r>
                <a:rPr lang="en-GB" sz="1400" i="0">
                  <a:latin typeface="+mj-lt"/>
                </a:rPr>
                <a:t>)/(</a:t>
              </a:r>
              <a:r>
                <a:rPr lang="en-US" sz="1400" i="0">
                  <a:latin typeface="+mj-lt"/>
                </a:rPr>
                <a:t>𝑃</a:t>
              </a:r>
              <a:r>
                <a:rPr lang="en-GB" sz="1400" i="0">
                  <a:latin typeface="+mj-lt"/>
                </a:rPr>
                <a:t>𝑎</a:t>
              </a:r>
              <a:r>
                <a:rPr lang="en-US" sz="1400" i="0">
                  <a:latin typeface="+mj-lt"/>
                </a:rPr>
                <a:t>𝑠𝑠𝑖𝑣𝑜 𝐶𝑖𝑟𝑐𝑢𝑙𝑎𝑛𝑡𝑒</a:t>
              </a:r>
              <a:r>
                <a:rPr lang="en-GB" sz="1400" i="0">
                  <a:latin typeface="+mj-lt"/>
                </a:rPr>
                <a:t>)</a:t>
              </a:r>
              <a:endParaRPr lang="en-GB" sz="1400">
                <a:latin typeface="+mj-lt"/>
              </a:endParaRPr>
            </a:p>
          </xdr:txBody>
        </xdr:sp>
      </mc:Fallback>
    </mc:AlternateContent>
    <xdr:clientData/>
  </xdr:twoCellAnchor>
  <xdr:twoCellAnchor>
    <xdr:from>
      <xdr:col>1</xdr:col>
      <xdr:colOff>127000</xdr:colOff>
      <xdr:row>14</xdr:row>
      <xdr:rowOff>0</xdr:rowOff>
    </xdr:from>
    <xdr:to>
      <xdr:col>4</xdr:col>
      <xdr:colOff>218896</xdr:colOff>
      <xdr:row>15</xdr:row>
      <xdr:rowOff>111181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8">
              <a:extLst>
                <a:ext uri="{FF2B5EF4-FFF2-40B4-BE49-F238E27FC236}">
                  <a16:creationId xmlns:a16="http://schemas.microsoft.com/office/drawing/2014/main" id="{58CF7CC2-59E1-BE46-AC9C-93B49F3C4D62}"/>
                </a:ext>
              </a:extLst>
            </xdr:cNvPr>
            <xdr:cNvSpPr txBox="1"/>
          </xdr:nvSpPr>
          <xdr:spPr>
            <a:xfrm>
              <a:off x="952500" y="2844800"/>
              <a:ext cx="4841696" cy="31438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400">
                  <a:latin typeface="+mj-lt"/>
                </a:rPr>
                <a:t>ILS</a:t>
              </a:r>
              <a14:m>
                <m:oMath xmlns:m="http://schemas.openxmlformats.org/officeDocument/2006/math">
                  <m:r>
                    <a:rPr lang="en-GB" sz="1400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GB" sz="1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400">
                          <a:latin typeface="Cambria Math" panose="02040503050406030204" pitchFamily="18" charset="0"/>
                        </a:rPr>
                        <m:t>𝐴𝑡𝑖𝑣𝑜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𝐶𝑖𝑟𝑐𝑢𝑙𝑎𝑛𝑡𝑒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−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𝐸𝑠𝑡𝑜𝑞𝑢𝑒𝑠</m:t>
                      </m:r>
                    </m:num>
                    <m:den>
                      <m:r>
                        <a:rPr lang="en-US" sz="1400">
                          <a:latin typeface="Cambria Math" panose="02040503050406030204" pitchFamily="18" charset="0"/>
                        </a:rPr>
                        <m:t>𝑃</m:t>
                      </m:r>
                      <m:r>
                        <a:rPr lang="en-GB" sz="1400">
                          <a:latin typeface="Cambria Math" panose="02040503050406030204" pitchFamily="18" charset="0"/>
                        </a:rPr>
                        <m:t>𝑎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𝑠𝑠𝑖𝑣𝑜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𝐶𝑖𝑟𝑐𝑢𝑙𝑎𝑛𝑡𝑒</m:t>
                      </m:r>
                    </m:den>
                  </m:f>
                </m:oMath>
              </a14:m>
              <a:endParaRPr lang="en-GB" sz="1400">
                <a:latin typeface="+mj-lt"/>
              </a:endParaRPr>
            </a:p>
          </xdr:txBody>
        </xdr:sp>
      </mc:Choice>
      <mc:Fallback xmlns="">
        <xdr:sp macro="" textlink="">
          <xdr:nvSpPr>
            <xdr:cNvPr id="3" name="TextBox 8">
              <a:extLst>
                <a:ext uri="{FF2B5EF4-FFF2-40B4-BE49-F238E27FC236}">
                  <a16:creationId xmlns:a16="http://schemas.microsoft.com/office/drawing/2014/main" id="{58CF7CC2-59E1-BE46-AC9C-93B49F3C4D62}"/>
                </a:ext>
              </a:extLst>
            </xdr:cNvPr>
            <xdr:cNvSpPr txBox="1"/>
          </xdr:nvSpPr>
          <xdr:spPr>
            <a:xfrm>
              <a:off x="952500" y="2844800"/>
              <a:ext cx="4841696" cy="31438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400">
                  <a:latin typeface="+mj-lt"/>
                </a:rPr>
                <a:t>ILS</a:t>
              </a:r>
              <a:r>
                <a:rPr lang="en-GB" sz="1400" i="0">
                  <a:latin typeface="+mj-lt"/>
                </a:rPr>
                <a:t>=(</a:t>
              </a:r>
              <a:r>
                <a:rPr lang="en-US" sz="1400" i="0">
                  <a:latin typeface="+mj-lt"/>
                </a:rPr>
                <a:t>𝐴𝑡𝑖𝑣𝑜 𝐶𝑖𝑟𝑐𝑢𝑙𝑎𝑛𝑡𝑒 −𝐸𝑠𝑡𝑜𝑞𝑢𝑒𝑠</a:t>
              </a:r>
              <a:r>
                <a:rPr lang="en-GB" sz="1400" i="0">
                  <a:latin typeface="+mj-lt"/>
                </a:rPr>
                <a:t>)/(</a:t>
              </a:r>
              <a:r>
                <a:rPr lang="en-US" sz="1400" i="0">
                  <a:latin typeface="+mj-lt"/>
                </a:rPr>
                <a:t>𝑃</a:t>
              </a:r>
              <a:r>
                <a:rPr lang="en-GB" sz="1400" i="0">
                  <a:latin typeface="+mj-lt"/>
                </a:rPr>
                <a:t>𝑎</a:t>
              </a:r>
              <a:r>
                <a:rPr lang="en-US" sz="1400" i="0">
                  <a:latin typeface="+mj-lt"/>
                </a:rPr>
                <a:t>𝑠𝑠𝑖𝑣𝑜 𝐶𝑖𝑟𝑐𝑢𝑙𝑎𝑛𝑡𝑒</a:t>
              </a:r>
              <a:r>
                <a:rPr lang="en-GB" sz="1400" i="0">
                  <a:latin typeface="+mj-lt"/>
                </a:rPr>
                <a:t>)</a:t>
              </a:r>
              <a:endParaRPr lang="en-GB" sz="1400">
                <a:latin typeface="+mj-lt"/>
              </a:endParaRPr>
            </a:p>
          </xdr:txBody>
        </xdr:sp>
      </mc:Fallback>
    </mc:AlternateContent>
    <xdr:clientData/>
  </xdr:twoCellAnchor>
  <xdr:twoCellAnchor>
    <xdr:from>
      <xdr:col>1</xdr:col>
      <xdr:colOff>88901</xdr:colOff>
      <xdr:row>21</xdr:row>
      <xdr:rowOff>63500</xdr:rowOff>
    </xdr:from>
    <xdr:to>
      <xdr:col>6</xdr:col>
      <xdr:colOff>215901</xdr:colOff>
      <xdr:row>22</xdr:row>
      <xdr:rowOff>79463</xdr:rowOff>
    </xdr:to>
    <xdr:sp macro="" textlink="">
      <xdr:nvSpPr>
        <xdr:cNvPr id="4" name="Text Box 17">
          <a:extLst>
            <a:ext uri="{FF2B5EF4-FFF2-40B4-BE49-F238E27FC236}">
              <a16:creationId xmlns:a16="http://schemas.microsoft.com/office/drawing/2014/main" id="{155AA289-7AB0-2544-ABF2-118A3665DF2B}"/>
            </a:ext>
          </a:extLst>
        </xdr:cNvPr>
        <xdr:cNvSpPr txBox="1">
          <a:spLocks noChangeArrowheads="1"/>
        </xdr:cNvSpPr>
      </xdr:nvSpPr>
      <xdr:spPr bwMode="auto">
        <a:xfrm>
          <a:off x="914401" y="4330700"/>
          <a:ext cx="6210300" cy="219163"/>
        </a:xfrm>
        <a:prstGeom prst="rect">
          <a:avLst/>
        </a:prstGeom>
        <a:noFill/>
      </xdr:spPr>
      <xdr:txBody>
        <a:bodyPr wrap="square" lIns="0" tIns="0" rIns="0" bIns="0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BR" altLang="pt-BR" sz="1400">
              <a:latin typeface="+mj-lt"/>
            </a:rPr>
            <a:t>CCG  =  ATIVO CIRCULANTE  -  PASSIVO CIRCULANTE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7</xdr:col>
      <xdr:colOff>129289</xdr:colOff>
      <xdr:row>29</xdr:row>
      <xdr:rowOff>137599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11">
              <a:extLst>
                <a:ext uri="{FF2B5EF4-FFF2-40B4-BE49-F238E27FC236}">
                  <a16:creationId xmlns:a16="http://schemas.microsoft.com/office/drawing/2014/main" id="{5A558AF3-7686-CA46-8D55-D09616539345}"/>
                </a:ext>
              </a:extLst>
            </xdr:cNvPr>
            <xdr:cNvSpPr txBox="1"/>
          </xdr:nvSpPr>
          <xdr:spPr>
            <a:xfrm>
              <a:off x="825500" y="5689600"/>
              <a:ext cx="7038089" cy="34079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400">
                  <a:latin typeface="+mj-lt"/>
                </a:rPr>
                <a:t>Giro do Estoques</a:t>
              </a:r>
              <a14:m>
                <m:oMath xmlns:m="http://schemas.openxmlformats.org/officeDocument/2006/math">
                  <m:r>
                    <a:rPr lang="en-GB" sz="1400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GB" sz="1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400">
                          <a:latin typeface="Cambria Math" panose="02040503050406030204" pitchFamily="18" charset="0"/>
                        </a:rPr>
                        <m:t>𝐶𝑢𝑠𝑡𝑜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𝑑𝑎𝑠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𝑀𝑒𝑟𝑐𝑎𝑑𝑜𝑟𝑖𝑎𝑠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𝑉𝑒𝑛𝑑𝑖𝑑𝑎𝑠</m:t>
                      </m:r>
                    </m:num>
                    <m:den>
                      <m:r>
                        <a:rPr lang="en-US" sz="1400">
                          <a:latin typeface="Cambria Math" panose="02040503050406030204" pitchFamily="18" charset="0"/>
                        </a:rPr>
                        <m:t>𝐸𝑠𝑡𝑜𝑞𝑢𝑒𝑠</m:t>
                      </m:r>
                    </m:den>
                  </m:f>
                </m:oMath>
              </a14:m>
              <a:endParaRPr lang="en-GB" sz="1400">
                <a:latin typeface="+mj-lt"/>
              </a:endParaRPr>
            </a:p>
          </xdr:txBody>
        </xdr:sp>
      </mc:Choice>
      <mc:Fallback xmlns="">
        <xdr:sp macro="" textlink="">
          <xdr:nvSpPr>
            <xdr:cNvPr id="5" name="TextBox 11">
              <a:extLst>
                <a:ext uri="{FF2B5EF4-FFF2-40B4-BE49-F238E27FC236}">
                  <a16:creationId xmlns:a16="http://schemas.microsoft.com/office/drawing/2014/main" id="{5A558AF3-7686-CA46-8D55-D09616539345}"/>
                </a:ext>
              </a:extLst>
            </xdr:cNvPr>
            <xdr:cNvSpPr txBox="1"/>
          </xdr:nvSpPr>
          <xdr:spPr>
            <a:xfrm>
              <a:off x="825500" y="5689600"/>
              <a:ext cx="7038089" cy="34079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400">
                  <a:latin typeface="+mj-lt"/>
                </a:rPr>
                <a:t>Giro do Estoques</a:t>
              </a:r>
              <a:r>
                <a:rPr lang="en-GB" sz="1400" i="0">
                  <a:latin typeface="+mj-lt"/>
                </a:rPr>
                <a:t>=(</a:t>
              </a:r>
              <a:r>
                <a:rPr lang="en-US" sz="1400" i="0">
                  <a:latin typeface="+mj-lt"/>
                </a:rPr>
                <a:t>𝐶𝑢𝑠𝑡𝑜 𝑑𝑎𝑠 𝑀𝑒𝑟𝑐𝑎𝑑𝑜𝑟𝑖𝑎𝑠 𝑉𝑒𝑛𝑑𝑖𝑑𝑎𝑠</a:t>
              </a:r>
              <a:r>
                <a:rPr lang="en-GB" sz="1400" i="0">
                  <a:latin typeface="+mj-lt"/>
                </a:rPr>
                <a:t>)/</a:t>
              </a:r>
              <a:r>
                <a:rPr lang="en-US" sz="1400" i="0">
                  <a:latin typeface="+mj-lt"/>
                </a:rPr>
                <a:t>𝐸𝑠𝑡𝑜𝑞𝑢𝑒𝑠</a:t>
              </a:r>
              <a:endParaRPr lang="en-GB" sz="1400">
                <a:latin typeface="+mj-lt"/>
              </a:endParaRPr>
            </a:p>
          </xdr:txBody>
        </xdr:sp>
      </mc:Fallback>
    </mc:AlternateContent>
    <xdr:clientData/>
  </xdr:twoCellAnchor>
  <xdr:twoCellAnchor>
    <xdr:from>
      <xdr:col>1</xdr:col>
      <xdr:colOff>0</xdr:colOff>
      <xdr:row>35</xdr:row>
      <xdr:rowOff>0</xdr:rowOff>
    </xdr:from>
    <xdr:to>
      <xdr:col>8</xdr:col>
      <xdr:colOff>229235</xdr:colOff>
      <xdr:row>36</xdr:row>
      <xdr:rowOff>111181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9">
              <a:extLst>
                <a:ext uri="{FF2B5EF4-FFF2-40B4-BE49-F238E27FC236}">
                  <a16:creationId xmlns:a16="http://schemas.microsoft.com/office/drawing/2014/main" id="{CE957874-32B7-7449-89CE-622B3B67EBA1}"/>
                </a:ext>
              </a:extLst>
            </xdr:cNvPr>
            <xdr:cNvSpPr txBox="1"/>
          </xdr:nvSpPr>
          <xdr:spPr>
            <a:xfrm>
              <a:off x="825500" y="7112000"/>
              <a:ext cx="7963535" cy="31438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400">
                  <a:latin typeface="+mj-lt"/>
                </a:rPr>
                <a:t>Período Médio de Cobrança</a:t>
              </a:r>
              <a14:m>
                <m:oMath xmlns:m="http://schemas.openxmlformats.org/officeDocument/2006/math">
                  <m:r>
                    <a:rPr lang="en-GB" sz="1400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GB" sz="1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400">
                          <a:latin typeface="Cambria Math" panose="02040503050406030204" pitchFamily="18" charset="0"/>
                        </a:rPr>
                        <m:t>𝐷𝑢𝑝𝑙𝑖𝑐𝑎𝑡𝑎𝑠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𝑎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𝑅𝑒𝑐𝑒𝑏𝑒𝑟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𝑥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360</m:t>
                      </m:r>
                    </m:num>
                    <m:den>
                      <m:r>
                        <a:rPr lang="en-US" sz="1400">
                          <a:latin typeface="Cambria Math" panose="02040503050406030204" pitchFamily="18" charset="0"/>
                        </a:rPr>
                        <m:t>𝑉𝑒𝑛𝑑𝑎𝑠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𝐴𝑛𝑢𝑎𝑖𝑠</m:t>
                      </m:r>
                    </m:den>
                  </m:f>
                </m:oMath>
              </a14:m>
              <a:endParaRPr lang="en-GB" sz="1400">
                <a:latin typeface="+mj-lt"/>
              </a:endParaRPr>
            </a:p>
          </xdr:txBody>
        </xdr:sp>
      </mc:Choice>
      <mc:Fallback xmlns="">
        <xdr:sp macro="" textlink="">
          <xdr:nvSpPr>
            <xdr:cNvPr id="6" name="TextBox 9">
              <a:extLst>
                <a:ext uri="{FF2B5EF4-FFF2-40B4-BE49-F238E27FC236}">
                  <a16:creationId xmlns:a16="http://schemas.microsoft.com/office/drawing/2014/main" id="{CE957874-32B7-7449-89CE-622B3B67EBA1}"/>
                </a:ext>
              </a:extLst>
            </xdr:cNvPr>
            <xdr:cNvSpPr txBox="1"/>
          </xdr:nvSpPr>
          <xdr:spPr>
            <a:xfrm>
              <a:off x="825500" y="7112000"/>
              <a:ext cx="7963535" cy="31438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400">
                  <a:latin typeface="+mj-lt"/>
                </a:rPr>
                <a:t>Período Médio de Cobrança</a:t>
              </a:r>
              <a:r>
                <a:rPr lang="en-GB" sz="1400" i="0">
                  <a:latin typeface="+mj-lt"/>
                </a:rPr>
                <a:t>=(</a:t>
              </a:r>
              <a:r>
                <a:rPr lang="en-US" sz="1400" i="0">
                  <a:latin typeface="+mj-lt"/>
                </a:rPr>
                <a:t>𝐷𝑢𝑝𝑙𝑖𝑐𝑎𝑡𝑎𝑠 𝑎 𝑅𝑒𝑐𝑒𝑏𝑒𝑟 𝑥 360</a:t>
              </a:r>
              <a:r>
                <a:rPr lang="en-GB" sz="1400" i="0">
                  <a:latin typeface="+mj-lt"/>
                </a:rPr>
                <a:t>)/(</a:t>
              </a:r>
              <a:r>
                <a:rPr lang="en-US" sz="1400" i="0">
                  <a:latin typeface="+mj-lt"/>
                </a:rPr>
                <a:t>𝑉𝑒𝑛𝑑𝑎𝑠 𝐴𝑛𝑢𝑎𝑖𝑠</a:t>
              </a:r>
              <a:r>
                <a:rPr lang="en-GB" sz="1400" i="0">
                  <a:latin typeface="+mj-lt"/>
                </a:rPr>
                <a:t>)</a:t>
              </a:r>
              <a:endParaRPr lang="en-GB" sz="1400">
                <a:latin typeface="+mj-lt"/>
              </a:endParaRPr>
            </a:p>
          </xdr:txBody>
        </xdr:sp>
      </mc:Fallback>
    </mc:AlternateContent>
    <xdr:clientData/>
  </xdr:twoCellAnchor>
  <xdr:twoCellAnchor>
    <xdr:from>
      <xdr:col>0</xdr:col>
      <xdr:colOff>800100</xdr:colOff>
      <xdr:row>43</xdr:row>
      <xdr:rowOff>12700</xdr:rowOff>
    </xdr:from>
    <xdr:to>
      <xdr:col>8</xdr:col>
      <xdr:colOff>272764</xdr:colOff>
      <xdr:row>44</xdr:row>
      <xdr:rowOff>150299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10">
              <a:extLst>
                <a:ext uri="{FF2B5EF4-FFF2-40B4-BE49-F238E27FC236}">
                  <a16:creationId xmlns:a16="http://schemas.microsoft.com/office/drawing/2014/main" id="{6B26C0D1-360B-8447-890A-570A3EC78389}"/>
                </a:ext>
              </a:extLst>
            </xdr:cNvPr>
            <xdr:cNvSpPr txBox="1"/>
          </xdr:nvSpPr>
          <xdr:spPr>
            <a:xfrm>
              <a:off x="800100" y="8547100"/>
              <a:ext cx="8032464" cy="34079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400">
                  <a:latin typeface="+mj-lt"/>
                </a:rPr>
                <a:t>Período Médio de Pagamento</a:t>
              </a:r>
              <a14:m>
                <m:oMath xmlns:m="http://schemas.openxmlformats.org/officeDocument/2006/math">
                  <m:r>
                    <a:rPr lang="en-GB" sz="1400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GB" sz="1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400">
                          <a:latin typeface="Cambria Math" panose="02040503050406030204" pitchFamily="18" charset="0"/>
                        </a:rPr>
                        <m:t>𝐷𝑢𝑝𝑙𝑖𝑐𝑎𝑡𝑎𝑠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𝑎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𝑃𝑎𝑔𝑎𝑟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𝑥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360</m:t>
                      </m:r>
                    </m:num>
                    <m:den>
                      <m:r>
                        <a:rPr lang="en-US" sz="1400">
                          <a:latin typeface="Cambria Math" panose="02040503050406030204" pitchFamily="18" charset="0"/>
                        </a:rPr>
                        <m:t>𝐶𝑜𝑚𝑝𝑟𝑎𝑠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𝐴𝑛𝑢𝑎𝑖𝑠</m:t>
                      </m:r>
                    </m:den>
                  </m:f>
                </m:oMath>
              </a14:m>
              <a:endParaRPr lang="en-GB" sz="1400">
                <a:latin typeface="+mj-lt"/>
              </a:endParaRPr>
            </a:p>
          </xdr:txBody>
        </xdr:sp>
      </mc:Choice>
      <mc:Fallback xmlns="">
        <xdr:sp macro="" textlink="">
          <xdr:nvSpPr>
            <xdr:cNvPr id="7" name="TextBox 10">
              <a:extLst>
                <a:ext uri="{FF2B5EF4-FFF2-40B4-BE49-F238E27FC236}">
                  <a16:creationId xmlns:a16="http://schemas.microsoft.com/office/drawing/2014/main" id="{6B26C0D1-360B-8447-890A-570A3EC78389}"/>
                </a:ext>
              </a:extLst>
            </xdr:cNvPr>
            <xdr:cNvSpPr txBox="1"/>
          </xdr:nvSpPr>
          <xdr:spPr>
            <a:xfrm>
              <a:off x="800100" y="8547100"/>
              <a:ext cx="8032464" cy="34079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400">
                  <a:latin typeface="+mj-lt"/>
                </a:rPr>
                <a:t>Período Médio de Pagamento</a:t>
              </a:r>
              <a:r>
                <a:rPr lang="en-GB" sz="1400" i="0">
                  <a:latin typeface="+mj-lt"/>
                </a:rPr>
                <a:t>=(</a:t>
              </a:r>
              <a:r>
                <a:rPr lang="en-US" sz="1400" i="0">
                  <a:latin typeface="+mj-lt"/>
                </a:rPr>
                <a:t>𝐷𝑢𝑝𝑙𝑖𝑐𝑎𝑡𝑎𝑠 𝑎 𝑃𝑎𝑔𝑎𝑟 𝑥 360</a:t>
              </a:r>
              <a:r>
                <a:rPr lang="en-GB" sz="1400" i="0">
                  <a:latin typeface="+mj-lt"/>
                </a:rPr>
                <a:t>)/(</a:t>
              </a:r>
              <a:r>
                <a:rPr lang="en-US" sz="1400" i="0">
                  <a:latin typeface="+mj-lt"/>
                </a:rPr>
                <a:t>𝐶𝑜𝑚𝑝𝑟𝑎𝑠 𝐴𝑛𝑢𝑎𝑖𝑠</a:t>
              </a:r>
              <a:r>
                <a:rPr lang="en-GB" sz="1400" i="0">
                  <a:latin typeface="+mj-lt"/>
                </a:rPr>
                <a:t>)</a:t>
              </a:r>
              <a:endParaRPr lang="en-GB" sz="1400">
                <a:latin typeface="+mj-lt"/>
              </a:endParaRPr>
            </a:p>
          </xdr:txBody>
        </xdr:sp>
      </mc:Fallback>
    </mc:AlternateContent>
    <xdr:clientData/>
  </xdr:twoCellAnchor>
  <xdr:twoCellAnchor>
    <xdr:from>
      <xdr:col>1</xdr:col>
      <xdr:colOff>0</xdr:colOff>
      <xdr:row>51</xdr:row>
      <xdr:rowOff>0</xdr:rowOff>
    </xdr:from>
    <xdr:to>
      <xdr:col>4</xdr:col>
      <xdr:colOff>2542</xdr:colOff>
      <xdr:row>52</xdr:row>
      <xdr:rowOff>111181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11">
              <a:extLst>
                <a:ext uri="{FF2B5EF4-FFF2-40B4-BE49-F238E27FC236}">
                  <a16:creationId xmlns:a16="http://schemas.microsoft.com/office/drawing/2014/main" id="{6E2915ED-0BA9-0648-BE32-365F0B36870D}"/>
                </a:ext>
              </a:extLst>
            </xdr:cNvPr>
            <xdr:cNvSpPr txBox="1"/>
          </xdr:nvSpPr>
          <xdr:spPr>
            <a:xfrm>
              <a:off x="825500" y="10160000"/>
              <a:ext cx="4752342" cy="31438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400">
                  <a:latin typeface="+mj-lt"/>
                </a:rPr>
                <a:t>G</a:t>
              </a:r>
              <a14:m>
                <m:oMath xmlns:m="http://schemas.openxmlformats.org/officeDocument/2006/math">
                  <m:r>
                    <m:rPr>
                      <m:sty m:val="p"/>
                    </m:rPr>
                    <a:rPr lang="en-US" sz="1400">
                      <a:latin typeface="Cambria Math" panose="02040503050406030204" pitchFamily="18" charset="0"/>
                    </a:rPr>
                    <m:t>iro</m:t>
                  </m:r>
                  <m:r>
                    <a:rPr lang="en-US" sz="1400">
                      <a:latin typeface="Cambria Math" panose="02040503050406030204" pitchFamily="18" charset="0"/>
                    </a:rPr>
                    <m:t> </m:t>
                  </m:r>
                  <m:r>
                    <m:rPr>
                      <m:sty m:val="p"/>
                    </m:rPr>
                    <a:rPr lang="en-US" sz="1400">
                      <a:latin typeface="Cambria Math" panose="02040503050406030204" pitchFamily="18" charset="0"/>
                    </a:rPr>
                    <m:t>do</m:t>
                  </m:r>
                  <m:r>
                    <a:rPr lang="en-US" sz="1400">
                      <a:latin typeface="Cambria Math" panose="02040503050406030204" pitchFamily="18" charset="0"/>
                    </a:rPr>
                    <m:t> </m:t>
                  </m:r>
                  <m:r>
                    <m:rPr>
                      <m:sty m:val="p"/>
                    </m:rPr>
                    <a:rPr lang="en-US" sz="1400">
                      <a:latin typeface="Cambria Math" panose="02040503050406030204" pitchFamily="18" charset="0"/>
                    </a:rPr>
                    <m:t>Ativo</m:t>
                  </m:r>
                  <m:r>
                    <a:rPr lang="en-GB" sz="1400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GB" sz="1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400">
                          <a:latin typeface="Cambria Math" panose="02040503050406030204" pitchFamily="18" charset="0"/>
                        </a:rPr>
                        <m:t>𝑉𝑒𝑛𝑑𝑎𝑠</m:t>
                      </m:r>
                    </m:num>
                    <m:den>
                      <m:r>
                        <a:rPr lang="en-US" sz="1400">
                          <a:latin typeface="Cambria Math" panose="02040503050406030204" pitchFamily="18" charset="0"/>
                        </a:rPr>
                        <m:t>𝐴𝑡𝑖𝑣𝑜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𝑇𝑜𝑡𝑎𝑙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</m:t>
                      </m:r>
                    </m:den>
                  </m:f>
                </m:oMath>
              </a14:m>
              <a:endParaRPr lang="en-GB" sz="1400">
                <a:latin typeface="+mj-lt"/>
              </a:endParaRPr>
            </a:p>
          </xdr:txBody>
        </xdr:sp>
      </mc:Choice>
      <mc:Fallback xmlns="">
        <xdr:sp macro="" textlink="">
          <xdr:nvSpPr>
            <xdr:cNvPr id="8" name="TextBox 11">
              <a:extLst>
                <a:ext uri="{FF2B5EF4-FFF2-40B4-BE49-F238E27FC236}">
                  <a16:creationId xmlns:a16="http://schemas.microsoft.com/office/drawing/2014/main" id="{6E2915ED-0BA9-0648-BE32-365F0B36870D}"/>
                </a:ext>
              </a:extLst>
            </xdr:cNvPr>
            <xdr:cNvSpPr txBox="1"/>
          </xdr:nvSpPr>
          <xdr:spPr>
            <a:xfrm>
              <a:off x="825500" y="10160000"/>
              <a:ext cx="4752342" cy="31438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400">
                  <a:latin typeface="+mj-lt"/>
                </a:rPr>
                <a:t>G</a:t>
              </a:r>
              <a:r>
                <a:rPr lang="en-US" sz="1400" i="0">
                  <a:latin typeface="+mj-lt"/>
                </a:rPr>
                <a:t>iro do Ativo</a:t>
              </a:r>
              <a:r>
                <a:rPr lang="en-GB" sz="1400" i="0">
                  <a:latin typeface="+mj-lt"/>
                </a:rPr>
                <a:t>=</a:t>
              </a:r>
              <a:r>
                <a:rPr lang="en-US" sz="1400" i="0">
                  <a:latin typeface="+mj-lt"/>
                </a:rPr>
                <a:t>𝑉𝑒𝑛𝑑𝑎𝑠</a:t>
              </a:r>
              <a:r>
                <a:rPr lang="en-GB" sz="1400" i="0">
                  <a:latin typeface="+mj-lt"/>
                </a:rPr>
                <a:t>/(</a:t>
              </a:r>
              <a:r>
                <a:rPr lang="en-US" sz="1400" i="0">
                  <a:latin typeface="+mj-lt"/>
                </a:rPr>
                <a:t>𝐴𝑡𝑖𝑣𝑜 𝑇𝑜𝑡𝑎𝑙 </a:t>
              </a:r>
              <a:r>
                <a:rPr lang="en-GB" sz="1400" i="0">
                  <a:latin typeface="+mj-lt"/>
                </a:rPr>
                <a:t>)</a:t>
              </a:r>
              <a:endParaRPr lang="en-GB" sz="1400">
                <a:latin typeface="+mj-lt"/>
              </a:endParaRPr>
            </a:p>
          </xdr:txBody>
        </xdr:sp>
      </mc:Fallback>
    </mc:AlternateContent>
    <xdr:clientData/>
  </xdr:twoCellAnchor>
  <xdr:twoCellAnchor>
    <xdr:from>
      <xdr:col>1</xdr:col>
      <xdr:colOff>0</xdr:colOff>
      <xdr:row>57</xdr:row>
      <xdr:rowOff>0</xdr:rowOff>
    </xdr:from>
    <xdr:to>
      <xdr:col>6</xdr:col>
      <xdr:colOff>55954</xdr:colOff>
      <xdr:row>58</xdr:row>
      <xdr:rowOff>137599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12">
              <a:extLst>
                <a:ext uri="{FF2B5EF4-FFF2-40B4-BE49-F238E27FC236}">
                  <a16:creationId xmlns:a16="http://schemas.microsoft.com/office/drawing/2014/main" id="{6EB9BA52-9BDD-A341-A938-C76A47E25C0D}"/>
                </a:ext>
              </a:extLst>
            </xdr:cNvPr>
            <xdr:cNvSpPr txBox="1"/>
          </xdr:nvSpPr>
          <xdr:spPr>
            <a:xfrm>
              <a:off x="825500" y="11379200"/>
              <a:ext cx="6139254" cy="34079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400">
                  <a:latin typeface="+mj-lt"/>
                </a:rPr>
                <a:t>G</a:t>
              </a:r>
              <a14:m>
                <m:oMath xmlns:m="http://schemas.openxmlformats.org/officeDocument/2006/math">
                  <m:r>
                    <m:rPr>
                      <m:sty m:val="p"/>
                    </m:rPr>
                    <a:rPr lang="en-US" sz="1400">
                      <a:latin typeface="Cambria Math" panose="02040503050406030204" pitchFamily="18" charset="0"/>
                    </a:rPr>
                    <m:t>iro</m:t>
                  </m:r>
                  <m:r>
                    <a:rPr lang="en-US" sz="1400">
                      <a:latin typeface="Cambria Math" panose="02040503050406030204" pitchFamily="18" charset="0"/>
                    </a:rPr>
                    <m:t> </m:t>
                  </m:r>
                  <m:r>
                    <m:rPr>
                      <m:sty m:val="p"/>
                    </m:rPr>
                    <a:rPr lang="en-US" sz="1400">
                      <a:latin typeface="Cambria Math" panose="02040503050406030204" pitchFamily="18" charset="0"/>
                    </a:rPr>
                    <m:t>do</m:t>
                  </m:r>
                  <m:r>
                    <a:rPr lang="en-US" sz="1400">
                      <a:latin typeface="Cambria Math" panose="02040503050406030204" pitchFamily="18" charset="0"/>
                    </a:rPr>
                    <m:t> </m:t>
                  </m:r>
                  <m:r>
                    <m:rPr>
                      <m:sty m:val="p"/>
                    </m:rPr>
                    <a:rPr lang="en-US" sz="1400">
                      <a:latin typeface="Cambria Math" panose="02040503050406030204" pitchFamily="18" charset="0"/>
                    </a:rPr>
                    <m:t>AtivoPerm</m:t>
                  </m:r>
                  <m:r>
                    <a:rPr lang="en-US" sz="1400">
                      <a:latin typeface="Cambria Math" panose="02040503050406030204" pitchFamily="18" charset="0"/>
                    </a:rPr>
                    <m:t>.=</m:t>
                  </m:r>
                  <m:f>
                    <m:fPr>
                      <m:ctrlPr>
                        <a:rPr lang="en-GB" sz="1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400">
                          <a:latin typeface="Cambria Math" panose="02040503050406030204" pitchFamily="18" charset="0"/>
                        </a:rPr>
                        <m:t>𝑉𝑒𝑛𝑑𝑎𝑠</m:t>
                      </m:r>
                    </m:num>
                    <m:den>
                      <m:r>
                        <a:rPr lang="en-US" sz="1400">
                          <a:latin typeface="Cambria Math" panose="02040503050406030204" pitchFamily="18" charset="0"/>
                        </a:rPr>
                        <m:t>𝐴𝑡𝑖𝑣𝑜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𝑃𝑒𝑟𝑚𝑎𝑛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.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𝐿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í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𝑞𝑢𝑖𝑑𝑜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</m:t>
                      </m:r>
                    </m:den>
                  </m:f>
                </m:oMath>
              </a14:m>
              <a:endParaRPr lang="en-GB" sz="1400">
                <a:latin typeface="+mj-lt"/>
              </a:endParaRPr>
            </a:p>
          </xdr:txBody>
        </xdr:sp>
      </mc:Choice>
      <mc:Fallback xmlns="">
        <xdr:sp macro="" textlink="">
          <xdr:nvSpPr>
            <xdr:cNvPr id="9" name="TextBox 12">
              <a:extLst>
                <a:ext uri="{FF2B5EF4-FFF2-40B4-BE49-F238E27FC236}">
                  <a16:creationId xmlns:a16="http://schemas.microsoft.com/office/drawing/2014/main" id="{6EB9BA52-9BDD-A341-A938-C76A47E25C0D}"/>
                </a:ext>
              </a:extLst>
            </xdr:cNvPr>
            <xdr:cNvSpPr txBox="1"/>
          </xdr:nvSpPr>
          <xdr:spPr>
            <a:xfrm>
              <a:off x="825500" y="11379200"/>
              <a:ext cx="6139254" cy="34079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400">
                  <a:latin typeface="+mj-lt"/>
                </a:rPr>
                <a:t>G</a:t>
              </a:r>
              <a:r>
                <a:rPr lang="en-US" sz="1400" i="0">
                  <a:latin typeface="+mj-lt"/>
                </a:rPr>
                <a:t>iro do AtivoPerm.=𝑉𝑒𝑛𝑑𝑎𝑠</a:t>
              </a:r>
              <a:r>
                <a:rPr lang="en-GB" sz="1400" i="0">
                  <a:latin typeface="+mj-lt"/>
                </a:rPr>
                <a:t>/(</a:t>
              </a:r>
              <a:r>
                <a:rPr lang="en-US" sz="1400" i="0">
                  <a:latin typeface="+mj-lt"/>
                </a:rPr>
                <a:t>𝐴𝑡𝑖𝑣𝑜 𝑃𝑒𝑟𝑚𝑎𝑛. 𝐿í𝑞𝑢𝑖𝑑𝑜 </a:t>
              </a:r>
              <a:r>
                <a:rPr lang="en-GB" sz="1400" i="0">
                  <a:latin typeface="+mj-lt"/>
                </a:rPr>
                <a:t>)</a:t>
              </a:r>
              <a:endParaRPr lang="en-GB" sz="1400">
                <a:latin typeface="+mj-lt"/>
              </a:endParaRPr>
            </a:p>
          </xdr:txBody>
        </xdr:sp>
      </mc:Fallback>
    </mc:AlternateContent>
    <xdr:clientData/>
  </xdr:twoCellAnchor>
  <xdr:twoCellAnchor>
    <xdr:from>
      <xdr:col>1</xdr:col>
      <xdr:colOff>38100</xdr:colOff>
      <xdr:row>65</xdr:row>
      <xdr:rowOff>127000</xdr:rowOff>
    </xdr:from>
    <xdr:to>
      <xdr:col>5</xdr:col>
      <xdr:colOff>432754</xdr:colOff>
      <xdr:row>67</xdr:row>
      <xdr:rowOff>35751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14">
              <a:extLst>
                <a:ext uri="{FF2B5EF4-FFF2-40B4-BE49-F238E27FC236}">
                  <a16:creationId xmlns:a16="http://schemas.microsoft.com/office/drawing/2014/main" id="{8291BF26-576C-E84A-AAAC-71F8B98E9051}"/>
                </a:ext>
              </a:extLst>
            </xdr:cNvPr>
            <xdr:cNvSpPr txBox="1"/>
          </xdr:nvSpPr>
          <xdr:spPr>
            <a:xfrm>
              <a:off x="863600" y="13335000"/>
              <a:ext cx="5868354" cy="31515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400">
                  <a:latin typeface="+mj-lt"/>
                </a:rPr>
                <a:t>Endividamento Geral</a:t>
              </a:r>
              <a14:m>
                <m:oMath xmlns:m="http://schemas.openxmlformats.org/officeDocument/2006/math">
                  <m:r>
                    <a:rPr lang="en-GB" sz="1400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GB" sz="1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m:rPr>
                          <m:sty m:val="p"/>
                        </m:rPr>
                        <a:rPr lang="en-US" sz="1400" b="0" i="0">
                          <a:latin typeface="Cambria Math" panose="02040503050406030204" pitchFamily="18" charset="0"/>
                        </a:rPr>
                        <m:t>Passivo</m:t>
                      </m:r>
                      <m:r>
                        <a:rPr lang="en-US" sz="1400" b="0" i="0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𝑇𝑜𝑡𝑎𝑙</m:t>
                      </m:r>
                    </m:num>
                    <m:den>
                      <m:r>
                        <a:rPr lang="en-US" sz="1400">
                          <a:latin typeface="Cambria Math" panose="02040503050406030204" pitchFamily="18" charset="0"/>
                        </a:rPr>
                        <m:t>𝐴𝑡𝑖𝑣𝑜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𝑇𝑜𝑡𝑎𝑙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</m:t>
                      </m:r>
                    </m:den>
                  </m:f>
                </m:oMath>
              </a14:m>
              <a:endParaRPr lang="en-GB" sz="1400">
                <a:latin typeface="+mj-lt"/>
              </a:endParaRPr>
            </a:p>
          </xdr:txBody>
        </xdr:sp>
      </mc:Choice>
      <mc:Fallback xmlns="">
        <xdr:sp macro="" textlink="">
          <xdr:nvSpPr>
            <xdr:cNvPr id="10" name="TextBox 14">
              <a:extLst>
                <a:ext uri="{FF2B5EF4-FFF2-40B4-BE49-F238E27FC236}">
                  <a16:creationId xmlns:a16="http://schemas.microsoft.com/office/drawing/2014/main" id="{8291BF26-576C-E84A-AAAC-71F8B98E9051}"/>
                </a:ext>
              </a:extLst>
            </xdr:cNvPr>
            <xdr:cNvSpPr txBox="1"/>
          </xdr:nvSpPr>
          <xdr:spPr>
            <a:xfrm>
              <a:off x="863600" y="13335000"/>
              <a:ext cx="5868354" cy="31515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400">
                  <a:latin typeface="+mj-lt"/>
                </a:rPr>
                <a:t>Endividamento Geral</a:t>
              </a:r>
              <a:r>
                <a:rPr lang="en-GB" sz="1400" i="0">
                  <a:latin typeface="Cambria Math" panose="02040503050406030204" pitchFamily="18" charset="0"/>
                </a:rPr>
                <a:t>=(</a:t>
              </a:r>
              <a:r>
                <a:rPr lang="en-US" sz="1400" b="0" i="0">
                  <a:latin typeface="Cambria Math" panose="02040503050406030204" pitchFamily="18" charset="0"/>
                </a:rPr>
                <a:t>Passivo </a:t>
              </a:r>
              <a:r>
                <a:rPr lang="en-US" sz="1400" i="0">
                  <a:latin typeface="Cambria Math" panose="02040503050406030204" pitchFamily="18" charset="0"/>
                </a:rPr>
                <a:t>𝑇𝑜𝑡𝑎𝑙</a:t>
              </a:r>
              <a:r>
                <a:rPr lang="en-GB" sz="1400" i="0">
                  <a:latin typeface="Cambria Math" panose="02040503050406030204" pitchFamily="18" charset="0"/>
                </a:rPr>
                <a:t>)/(</a:t>
              </a:r>
              <a:r>
                <a:rPr lang="en-US" sz="1400" i="0">
                  <a:latin typeface="Cambria Math" panose="02040503050406030204" pitchFamily="18" charset="0"/>
                </a:rPr>
                <a:t>𝐴𝑡𝑖𝑣𝑜 𝑇𝑜𝑡𝑎𝑙 </a:t>
              </a:r>
              <a:r>
                <a:rPr lang="en-GB" sz="1400" i="0">
                  <a:latin typeface="Cambria Math" panose="02040503050406030204" pitchFamily="18" charset="0"/>
                </a:rPr>
                <a:t>)</a:t>
              </a:r>
              <a:endParaRPr lang="en-GB" sz="1400">
                <a:latin typeface="+mj-lt"/>
              </a:endParaRPr>
            </a:p>
          </xdr:txBody>
        </xdr:sp>
      </mc:Fallback>
    </mc:AlternateContent>
    <xdr:clientData/>
  </xdr:twoCellAnchor>
  <xdr:twoCellAnchor>
    <xdr:from>
      <xdr:col>1</xdr:col>
      <xdr:colOff>38100</xdr:colOff>
      <xdr:row>74</xdr:row>
      <xdr:rowOff>0</xdr:rowOff>
    </xdr:from>
    <xdr:to>
      <xdr:col>5</xdr:col>
      <xdr:colOff>96571</xdr:colOff>
      <xdr:row>75</xdr:row>
      <xdr:rowOff>133880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5">
              <a:extLst>
                <a:ext uri="{FF2B5EF4-FFF2-40B4-BE49-F238E27FC236}">
                  <a16:creationId xmlns:a16="http://schemas.microsoft.com/office/drawing/2014/main" id="{1DAD1A53-F8A3-9F4E-82F0-BF87AD967EB3}"/>
                </a:ext>
              </a:extLst>
            </xdr:cNvPr>
            <xdr:cNvSpPr txBox="1"/>
          </xdr:nvSpPr>
          <xdr:spPr>
            <a:xfrm>
              <a:off x="863600" y="15036800"/>
              <a:ext cx="5532171" cy="33708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400">
                  <a:latin typeface="+mj-lt"/>
                </a:rPr>
                <a:t>(PNC – PL) </a:t>
              </a:r>
              <a14:m>
                <m:oMath xmlns:m="http://schemas.openxmlformats.org/officeDocument/2006/math">
                  <m:r>
                    <a:rPr lang="en-GB" sz="1400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GB" sz="1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400" b="0" i="1">
                          <a:latin typeface="Cambria Math" panose="02040503050406030204" pitchFamily="18" charset="0"/>
                        </a:rPr>
                        <m:t>𝑃𝑎𝑠𝑠𝑖𝑣𝑜</m:t>
                      </m:r>
                      <m:r>
                        <a:rPr lang="en-US" sz="14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400" b="0" i="1">
                          <a:latin typeface="Cambria Math" panose="02040503050406030204" pitchFamily="18" charset="0"/>
                        </a:rPr>
                        <m:t>𝑁𝑎𝑜</m:t>
                      </m:r>
                      <m:r>
                        <a:rPr lang="en-US" sz="14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400" b="0" i="1">
                          <a:latin typeface="Cambria Math" panose="02040503050406030204" pitchFamily="18" charset="0"/>
                        </a:rPr>
                        <m:t>𝐶𝑖𝑟𝑐𝑢𝑙𝑎𝑛𝑡𝑒</m:t>
                      </m:r>
                    </m:num>
                    <m:den>
                      <m:r>
                        <a:rPr lang="en-US" sz="1400">
                          <a:latin typeface="Cambria Math" panose="02040503050406030204" pitchFamily="18" charset="0"/>
                        </a:rPr>
                        <m:t>𝑃𝑎𝑡𝑟𝑖𝑚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ô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𝑛𝑖𝑜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𝐿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í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𝑞𝑢𝑖𝑑𝑜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</m:t>
                      </m:r>
                    </m:den>
                  </m:f>
                </m:oMath>
              </a14:m>
              <a:endParaRPr lang="en-GB" sz="1400">
                <a:latin typeface="+mj-lt"/>
              </a:endParaRPr>
            </a:p>
          </xdr:txBody>
        </xdr:sp>
      </mc:Choice>
      <mc:Fallback xmlns="">
        <xdr:sp macro="" textlink="">
          <xdr:nvSpPr>
            <xdr:cNvPr id="11" name="TextBox 15">
              <a:extLst>
                <a:ext uri="{FF2B5EF4-FFF2-40B4-BE49-F238E27FC236}">
                  <a16:creationId xmlns:a16="http://schemas.microsoft.com/office/drawing/2014/main" id="{1DAD1A53-F8A3-9F4E-82F0-BF87AD967EB3}"/>
                </a:ext>
              </a:extLst>
            </xdr:cNvPr>
            <xdr:cNvSpPr txBox="1"/>
          </xdr:nvSpPr>
          <xdr:spPr>
            <a:xfrm>
              <a:off x="863600" y="15036800"/>
              <a:ext cx="5532171" cy="33708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400">
                  <a:latin typeface="+mj-lt"/>
                </a:rPr>
                <a:t>(PNC – PL) </a:t>
              </a:r>
              <a:r>
                <a:rPr lang="en-GB" sz="1400" i="0">
                  <a:latin typeface="Cambria Math" panose="02040503050406030204" pitchFamily="18" charset="0"/>
                </a:rPr>
                <a:t>=(</a:t>
              </a:r>
              <a:r>
                <a:rPr lang="en-US" sz="1400" b="0" i="0">
                  <a:latin typeface="Cambria Math" panose="02040503050406030204" pitchFamily="18" charset="0"/>
                </a:rPr>
                <a:t>𝑃𝑎𝑠𝑠𝑖𝑣𝑜 𝑁𝑎𝑜 𝐶𝑖𝑟𝑐𝑢𝑙𝑎𝑛𝑡𝑒</a:t>
              </a:r>
              <a:r>
                <a:rPr lang="en-GB" sz="1400" b="0" i="0">
                  <a:latin typeface="Cambria Math" panose="02040503050406030204" pitchFamily="18" charset="0"/>
                </a:rPr>
                <a:t>)/(</a:t>
              </a:r>
              <a:r>
                <a:rPr lang="en-US" sz="1400" i="0">
                  <a:latin typeface="Cambria Math" panose="02040503050406030204" pitchFamily="18" charset="0"/>
                </a:rPr>
                <a:t>𝑃𝑎𝑡𝑟𝑖𝑚ô𝑛𝑖𝑜 𝐿í𝑞𝑢𝑖𝑑𝑜 </a:t>
              </a:r>
              <a:r>
                <a:rPr lang="en-GB" sz="1400" i="0">
                  <a:latin typeface="Cambria Math" panose="02040503050406030204" pitchFamily="18" charset="0"/>
                </a:rPr>
                <a:t>)</a:t>
              </a:r>
              <a:endParaRPr lang="en-GB" sz="1400">
                <a:latin typeface="+mj-lt"/>
              </a:endParaRPr>
            </a:p>
          </xdr:txBody>
        </xdr:sp>
      </mc:Fallback>
    </mc:AlternateContent>
    <xdr:clientData/>
  </xdr:twoCellAnchor>
  <xdr:twoCellAnchor>
    <xdr:from>
      <xdr:col>1</xdr:col>
      <xdr:colOff>0</xdr:colOff>
      <xdr:row>83</xdr:row>
      <xdr:rowOff>0</xdr:rowOff>
    </xdr:from>
    <xdr:to>
      <xdr:col>5</xdr:col>
      <xdr:colOff>343491</xdr:colOff>
      <xdr:row>84</xdr:row>
      <xdr:rowOff>134457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22">
              <a:extLst>
                <a:ext uri="{FF2B5EF4-FFF2-40B4-BE49-F238E27FC236}">
                  <a16:creationId xmlns:a16="http://schemas.microsoft.com/office/drawing/2014/main" id="{A7B60666-4A04-4444-913C-6667488142EE}"/>
                </a:ext>
              </a:extLst>
            </xdr:cNvPr>
            <xdr:cNvSpPr txBox="1"/>
          </xdr:nvSpPr>
          <xdr:spPr>
            <a:xfrm>
              <a:off x="825500" y="16662400"/>
              <a:ext cx="5893391" cy="33765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400">
                  <a:latin typeface="+mj-lt"/>
                </a:rPr>
                <a:t>CJ</a:t>
              </a:r>
              <a14:m>
                <m:oMath xmlns:m="http://schemas.openxmlformats.org/officeDocument/2006/math">
                  <m:r>
                    <a:rPr lang="en-GB" sz="1400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GB" sz="1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400">
                          <a:latin typeface="Cambria Math" panose="02040503050406030204" pitchFamily="18" charset="0"/>
                        </a:rPr>
                        <m:t>𝐿𝐴𝐽𝐼𝑅</m:t>
                      </m:r>
                    </m:num>
                    <m:den>
                      <m:r>
                        <a:rPr lang="en-US" sz="1400">
                          <a:latin typeface="Cambria Math" panose="02040503050406030204" pitchFamily="18" charset="0"/>
                        </a:rPr>
                        <m:t>𝐷𝑒𝑠𝑝𝑒𝑠𝑎𝑠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𝐴𝑛𝑢𝑎𝑙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𝑒𝑚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𝐽𝑢𝑟𝑜𝑠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</m:t>
                      </m:r>
                    </m:den>
                  </m:f>
                </m:oMath>
              </a14:m>
              <a:endParaRPr lang="en-GB" sz="1400">
                <a:latin typeface="+mj-lt"/>
              </a:endParaRPr>
            </a:p>
          </xdr:txBody>
        </xdr:sp>
      </mc:Choice>
      <mc:Fallback xmlns="">
        <xdr:sp macro="" textlink="">
          <xdr:nvSpPr>
            <xdr:cNvPr id="12" name="TextBox 22">
              <a:extLst>
                <a:ext uri="{FF2B5EF4-FFF2-40B4-BE49-F238E27FC236}">
                  <a16:creationId xmlns:a16="http://schemas.microsoft.com/office/drawing/2014/main" id="{A7B60666-4A04-4444-913C-6667488142EE}"/>
                </a:ext>
              </a:extLst>
            </xdr:cNvPr>
            <xdr:cNvSpPr txBox="1"/>
          </xdr:nvSpPr>
          <xdr:spPr>
            <a:xfrm>
              <a:off x="825500" y="16662400"/>
              <a:ext cx="5893391" cy="33765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400">
                  <a:latin typeface="+mj-lt"/>
                </a:rPr>
                <a:t>CJ</a:t>
              </a:r>
              <a:r>
                <a:rPr lang="en-GB" sz="1400" i="0">
                  <a:latin typeface="+mj-lt"/>
                </a:rPr>
                <a:t>=</a:t>
              </a:r>
              <a:r>
                <a:rPr lang="en-US" sz="1400" i="0">
                  <a:latin typeface="+mj-lt"/>
                </a:rPr>
                <a:t>𝐿𝐴𝐽𝐼𝑅</a:t>
              </a:r>
              <a:r>
                <a:rPr lang="en-GB" sz="1400" i="0">
                  <a:latin typeface="+mj-lt"/>
                </a:rPr>
                <a:t>/(</a:t>
              </a:r>
              <a:r>
                <a:rPr lang="en-US" sz="1400" i="0">
                  <a:latin typeface="+mj-lt"/>
                </a:rPr>
                <a:t>𝐷𝑒𝑠𝑝𝑒𝑠𝑎𝑠 𝐴𝑛𝑢𝑎𝑙 𝑒𝑚 𝐽𝑢𝑟𝑜𝑠 </a:t>
              </a:r>
              <a:r>
                <a:rPr lang="en-GB" sz="1400" i="0">
                  <a:latin typeface="+mj-lt"/>
                </a:rPr>
                <a:t>)</a:t>
              </a:r>
              <a:endParaRPr lang="en-GB" sz="1400">
                <a:latin typeface="+mj-lt"/>
              </a:endParaRPr>
            </a:p>
          </xdr:txBody>
        </xdr:sp>
      </mc:Fallback>
    </mc:AlternateContent>
    <xdr:clientData/>
  </xdr:twoCellAnchor>
  <xdr:twoCellAnchor>
    <xdr:from>
      <xdr:col>1</xdr:col>
      <xdr:colOff>12700</xdr:colOff>
      <xdr:row>90</xdr:row>
      <xdr:rowOff>165100</xdr:rowOff>
    </xdr:from>
    <xdr:to>
      <xdr:col>4</xdr:col>
      <xdr:colOff>169806</xdr:colOff>
      <xdr:row>92</xdr:row>
      <xdr:rowOff>68913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3">
              <a:extLst>
                <a:ext uri="{FF2B5EF4-FFF2-40B4-BE49-F238E27FC236}">
                  <a16:creationId xmlns:a16="http://schemas.microsoft.com/office/drawing/2014/main" id="{F377A2D2-7AEE-C841-8595-62DE4650E412}"/>
                </a:ext>
              </a:extLst>
            </xdr:cNvPr>
            <xdr:cNvSpPr txBox="1"/>
          </xdr:nvSpPr>
          <xdr:spPr>
            <a:xfrm>
              <a:off x="838200" y="18453100"/>
              <a:ext cx="4906906" cy="310213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400">
                  <a:latin typeface="+mj-lt"/>
                </a:rPr>
                <a:t>Margem Bruta </a:t>
              </a:r>
              <a14:m>
                <m:oMath xmlns:m="http://schemas.openxmlformats.org/officeDocument/2006/math">
                  <m:r>
                    <a:rPr lang="en-GB" sz="1400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GB" sz="1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400">
                          <a:latin typeface="Cambria Math" panose="02040503050406030204" pitchFamily="18" charset="0"/>
                        </a:rPr>
                        <m:t>𝐿𝑢𝑐𝑟𝑜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𝐵𝑟𝑢𝑡𝑜</m:t>
                      </m:r>
                    </m:num>
                    <m:den>
                      <m:r>
                        <a:rPr lang="en-US" sz="1400">
                          <a:latin typeface="Cambria Math" panose="02040503050406030204" pitchFamily="18" charset="0"/>
                        </a:rPr>
                        <m:t>𝑉𝑒𝑛𝑑𝑎𝑠</m:t>
                      </m:r>
                    </m:den>
                  </m:f>
                </m:oMath>
              </a14:m>
              <a:endParaRPr lang="en-GB" sz="1400">
                <a:latin typeface="+mj-lt"/>
              </a:endParaRPr>
            </a:p>
          </xdr:txBody>
        </xdr:sp>
      </mc:Choice>
      <mc:Fallback xmlns="">
        <xdr:sp macro="" textlink="">
          <xdr:nvSpPr>
            <xdr:cNvPr id="13" name="TextBox 13">
              <a:extLst>
                <a:ext uri="{FF2B5EF4-FFF2-40B4-BE49-F238E27FC236}">
                  <a16:creationId xmlns:a16="http://schemas.microsoft.com/office/drawing/2014/main" id="{F377A2D2-7AEE-C841-8595-62DE4650E412}"/>
                </a:ext>
              </a:extLst>
            </xdr:cNvPr>
            <xdr:cNvSpPr txBox="1"/>
          </xdr:nvSpPr>
          <xdr:spPr>
            <a:xfrm>
              <a:off x="838200" y="18453100"/>
              <a:ext cx="4906906" cy="310213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400">
                  <a:latin typeface="+mj-lt"/>
                </a:rPr>
                <a:t>Margem Bruta </a:t>
              </a:r>
              <a:r>
                <a:rPr lang="en-GB" sz="1400" i="0">
                  <a:latin typeface="+mj-lt"/>
                </a:rPr>
                <a:t>=(</a:t>
              </a:r>
              <a:r>
                <a:rPr lang="en-US" sz="1400" i="0">
                  <a:latin typeface="+mj-lt"/>
                </a:rPr>
                <a:t>𝐿𝑢𝑐𝑟𝑜 𝐵𝑟𝑢𝑡𝑜</a:t>
              </a:r>
              <a:r>
                <a:rPr lang="en-GB" sz="1400" i="0">
                  <a:latin typeface="+mj-lt"/>
                </a:rPr>
                <a:t>)/</a:t>
              </a:r>
              <a:r>
                <a:rPr lang="en-US" sz="1400" i="0">
                  <a:latin typeface="+mj-lt"/>
                </a:rPr>
                <a:t>𝑉𝑒𝑛𝑑𝑎𝑠</a:t>
              </a:r>
              <a:endParaRPr lang="en-GB" sz="1400">
                <a:latin typeface="+mj-lt"/>
              </a:endParaRPr>
            </a:p>
          </xdr:txBody>
        </xdr:sp>
      </mc:Fallback>
    </mc:AlternateContent>
    <xdr:clientData/>
  </xdr:twoCellAnchor>
  <xdr:twoCellAnchor>
    <xdr:from>
      <xdr:col>1</xdr:col>
      <xdr:colOff>0</xdr:colOff>
      <xdr:row>98</xdr:row>
      <xdr:rowOff>50800</xdr:rowOff>
    </xdr:from>
    <xdr:to>
      <xdr:col>6</xdr:col>
      <xdr:colOff>114495</xdr:colOff>
      <xdr:row>99</xdr:row>
      <xdr:rowOff>161981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4">
              <a:extLst>
                <a:ext uri="{FF2B5EF4-FFF2-40B4-BE49-F238E27FC236}">
                  <a16:creationId xmlns:a16="http://schemas.microsoft.com/office/drawing/2014/main" id="{850580FF-8DAB-674A-8ED3-0B345DBE324D}"/>
                </a:ext>
              </a:extLst>
            </xdr:cNvPr>
            <xdr:cNvSpPr txBox="1"/>
          </xdr:nvSpPr>
          <xdr:spPr>
            <a:xfrm>
              <a:off x="825500" y="19964400"/>
              <a:ext cx="6121595" cy="31438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400">
                  <a:latin typeface="+mj-lt"/>
                </a:rPr>
                <a:t>Margem Operacional </a:t>
              </a:r>
              <a14:m>
                <m:oMath xmlns:m="http://schemas.openxmlformats.org/officeDocument/2006/math">
                  <m:r>
                    <a:rPr lang="en-GB" sz="1400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GB" sz="1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400">
                          <a:latin typeface="Cambria Math" panose="02040503050406030204" pitchFamily="18" charset="0"/>
                        </a:rPr>
                        <m:t>𝐿𝑢𝑐𝑟𝑜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𝑂𝑝𝑒𝑟𝑎𝑐𝑖𝑜𝑛𝑎𝑙</m:t>
                      </m:r>
                    </m:num>
                    <m:den>
                      <m:r>
                        <a:rPr lang="en-US" sz="1400">
                          <a:latin typeface="Cambria Math" panose="02040503050406030204" pitchFamily="18" charset="0"/>
                        </a:rPr>
                        <m:t>𝑉𝑒𝑛𝑑𝑎𝑠</m:t>
                      </m:r>
                    </m:den>
                  </m:f>
                </m:oMath>
              </a14:m>
              <a:endParaRPr lang="en-GB" sz="1400">
                <a:latin typeface="+mj-lt"/>
              </a:endParaRPr>
            </a:p>
          </xdr:txBody>
        </xdr:sp>
      </mc:Choice>
      <mc:Fallback xmlns="">
        <xdr:sp macro="" textlink="">
          <xdr:nvSpPr>
            <xdr:cNvPr id="14" name="TextBox 14">
              <a:extLst>
                <a:ext uri="{FF2B5EF4-FFF2-40B4-BE49-F238E27FC236}">
                  <a16:creationId xmlns:a16="http://schemas.microsoft.com/office/drawing/2014/main" id="{850580FF-8DAB-674A-8ED3-0B345DBE324D}"/>
                </a:ext>
              </a:extLst>
            </xdr:cNvPr>
            <xdr:cNvSpPr txBox="1"/>
          </xdr:nvSpPr>
          <xdr:spPr>
            <a:xfrm>
              <a:off x="825500" y="19964400"/>
              <a:ext cx="6121595" cy="31438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400">
                  <a:latin typeface="+mj-lt"/>
                </a:rPr>
                <a:t>Margem Operacional </a:t>
              </a:r>
              <a:r>
                <a:rPr lang="en-GB" sz="1400" i="0">
                  <a:latin typeface="+mj-lt"/>
                </a:rPr>
                <a:t>=(</a:t>
              </a:r>
              <a:r>
                <a:rPr lang="en-US" sz="1400" i="0">
                  <a:latin typeface="+mj-lt"/>
                </a:rPr>
                <a:t>𝐿𝑢𝑐𝑟𝑜 𝑂𝑝𝑒𝑟𝑎𝑐𝑖𝑜𝑛𝑎𝑙</a:t>
              </a:r>
              <a:r>
                <a:rPr lang="en-GB" sz="1400" i="0">
                  <a:latin typeface="+mj-lt"/>
                </a:rPr>
                <a:t>)/</a:t>
              </a:r>
              <a:r>
                <a:rPr lang="en-US" sz="1400" i="0">
                  <a:latin typeface="+mj-lt"/>
                </a:rPr>
                <a:t>𝑉𝑒𝑛𝑑𝑎𝑠</a:t>
              </a:r>
              <a:endParaRPr lang="en-GB" sz="1400">
                <a:latin typeface="+mj-lt"/>
              </a:endParaRPr>
            </a:p>
          </xdr:txBody>
        </xdr:sp>
      </mc:Fallback>
    </mc:AlternateContent>
    <xdr:clientData/>
  </xdr:twoCellAnchor>
  <xdr:twoCellAnchor>
    <xdr:from>
      <xdr:col>1</xdr:col>
      <xdr:colOff>25401</xdr:colOff>
      <xdr:row>104</xdr:row>
      <xdr:rowOff>38100</xdr:rowOff>
    </xdr:from>
    <xdr:to>
      <xdr:col>3</xdr:col>
      <xdr:colOff>622301</xdr:colOff>
      <xdr:row>105</xdr:row>
      <xdr:rowOff>150051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9">
              <a:extLst>
                <a:ext uri="{FF2B5EF4-FFF2-40B4-BE49-F238E27FC236}">
                  <a16:creationId xmlns:a16="http://schemas.microsoft.com/office/drawing/2014/main" id="{AF009303-836D-6E4D-ABEB-4FAEE20A9B79}"/>
                </a:ext>
              </a:extLst>
            </xdr:cNvPr>
            <xdr:cNvSpPr txBox="1"/>
          </xdr:nvSpPr>
          <xdr:spPr>
            <a:xfrm>
              <a:off x="850901" y="21170900"/>
              <a:ext cx="4622800" cy="31515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400">
                  <a:latin typeface="+mj-lt"/>
                </a:rPr>
                <a:t>Margem Líquida </a:t>
              </a:r>
              <a14:m>
                <m:oMath xmlns:m="http://schemas.openxmlformats.org/officeDocument/2006/math">
                  <m:r>
                    <a:rPr lang="en-GB" sz="1400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GB" sz="1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400">
                          <a:latin typeface="Cambria Math" panose="02040503050406030204" pitchFamily="18" charset="0"/>
                        </a:rPr>
                        <m:t>𝐿𝑢𝑐𝑟𝑜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𝐿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í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𝑞𝑢𝑖𝑑𝑜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𝑑𝑜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𝐸𝑥𝑒𝑟𝑐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í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𝑐𝑖𝑜</m:t>
                      </m:r>
                    </m:num>
                    <m:den>
                      <m:r>
                        <a:rPr lang="en-US" sz="1400">
                          <a:latin typeface="Cambria Math" panose="02040503050406030204" pitchFamily="18" charset="0"/>
                        </a:rPr>
                        <m:t>𝑅𝑒𝑐𝑒𝑖𝑡𝑎𝑠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𝑑𝑒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𝑉𝑒𝑛𝑑𝑎𝑠</m:t>
                      </m:r>
                    </m:den>
                  </m:f>
                </m:oMath>
              </a14:m>
              <a:endParaRPr lang="en-GB" sz="1400">
                <a:latin typeface="+mj-lt"/>
              </a:endParaRPr>
            </a:p>
          </xdr:txBody>
        </xdr:sp>
      </mc:Choice>
      <mc:Fallback xmlns="">
        <xdr:sp macro="" textlink="">
          <xdr:nvSpPr>
            <xdr:cNvPr id="15" name="TextBox 9">
              <a:extLst>
                <a:ext uri="{FF2B5EF4-FFF2-40B4-BE49-F238E27FC236}">
                  <a16:creationId xmlns:a16="http://schemas.microsoft.com/office/drawing/2014/main" id="{AF009303-836D-6E4D-ABEB-4FAEE20A9B79}"/>
                </a:ext>
              </a:extLst>
            </xdr:cNvPr>
            <xdr:cNvSpPr txBox="1"/>
          </xdr:nvSpPr>
          <xdr:spPr>
            <a:xfrm>
              <a:off x="850901" y="21170900"/>
              <a:ext cx="4622800" cy="31515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400">
                  <a:latin typeface="+mj-lt"/>
                </a:rPr>
                <a:t>Margem Líquida </a:t>
              </a:r>
              <a:r>
                <a:rPr lang="en-GB" sz="1400" i="0">
                  <a:latin typeface="+mj-lt"/>
                </a:rPr>
                <a:t>=(</a:t>
              </a:r>
              <a:r>
                <a:rPr lang="en-US" sz="1400" i="0">
                  <a:latin typeface="+mj-lt"/>
                </a:rPr>
                <a:t>𝐿𝑢𝑐𝑟𝑜  𝐿í𝑞𝑢𝑖𝑑𝑜 𝑑𝑜 𝐸𝑥𝑒𝑟𝑐í𝑐𝑖𝑜</a:t>
              </a:r>
              <a:r>
                <a:rPr lang="en-GB" sz="1400" i="0">
                  <a:latin typeface="+mj-lt"/>
                </a:rPr>
                <a:t>)/(</a:t>
              </a:r>
              <a:r>
                <a:rPr lang="en-US" sz="1400" i="0">
                  <a:latin typeface="+mj-lt"/>
                </a:rPr>
                <a:t>𝑅𝑒𝑐𝑒𝑖𝑡𝑎𝑠 𝑑𝑒 𝑉𝑒𝑛𝑑𝑎𝑠</a:t>
              </a:r>
              <a:r>
                <a:rPr lang="en-GB" sz="1400" i="0">
                  <a:latin typeface="+mj-lt"/>
                </a:rPr>
                <a:t>)</a:t>
              </a:r>
              <a:endParaRPr lang="en-GB" sz="1400">
                <a:latin typeface="+mj-lt"/>
              </a:endParaRPr>
            </a:p>
          </xdr:txBody>
        </xdr:sp>
      </mc:Fallback>
    </mc:AlternateContent>
    <xdr:clientData/>
  </xdr:twoCellAnchor>
  <xdr:twoCellAnchor>
    <xdr:from>
      <xdr:col>1</xdr:col>
      <xdr:colOff>190500</xdr:colOff>
      <xdr:row>112</xdr:row>
      <xdr:rowOff>50800</xdr:rowOff>
    </xdr:from>
    <xdr:to>
      <xdr:col>3</xdr:col>
      <xdr:colOff>51974</xdr:colOff>
      <xdr:row>113</xdr:row>
      <xdr:rowOff>162751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1">
              <a:extLst>
                <a:ext uri="{FF2B5EF4-FFF2-40B4-BE49-F238E27FC236}">
                  <a16:creationId xmlns:a16="http://schemas.microsoft.com/office/drawing/2014/main" id="{15989273-D85B-9540-A6FF-671E7E7C76FB}"/>
                </a:ext>
              </a:extLst>
            </xdr:cNvPr>
            <xdr:cNvSpPr txBox="1"/>
          </xdr:nvSpPr>
          <xdr:spPr>
            <a:xfrm>
              <a:off x="1016000" y="22809200"/>
              <a:ext cx="3887374" cy="31515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400">
                  <a:latin typeface="+mj-lt"/>
                </a:rPr>
                <a:t>R</a:t>
              </a:r>
              <a14:m>
                <m:oMath xmlns:m="http://schemas.openxmlformats.org/officeDocument/2006/math">
                  <m:r>
                    <m:rPr>
                      <m:sty m:val="p"/>
                    </m:rPr>
                    <a:rPr lang="en-US" sz="1400">
                      <a:latin typeface="Cambria Math" panose="02040503050406030204" pitchFamily="18" charset="0"/>
                    </a:rPr>
                    <m:t>OI</m:t>
                  </m:r>
                  <m:r>
                    <a:rPr lang="en-GB" sz="1400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GB" sz="1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400">
                          <a:latin typeface="Cambria Math" panose="02040503050406030204" pitchFamily="18" charset="0"/>
                        </a:rPr>
                        <m:t>𝐿𝑢𝑐𝑟𝑜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𝑎𝑝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ó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𝑜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𝐼𝑅</m:t>
                      </m:r>
                    </m:num>
                    <m:den>
                      <m:r>
                        <a:rPr lang="en-US" sz="1400">
                          <a:latin typeface="Cambria Math" panose="02040503050406030204" pitchFamily="18" charset="0"/>
                        </a:rPr>
                        <m:t>𝐴𝑡𝑖𝑣𝑜𝑠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𝑡𝑜𝑡𝑎𝑖𝑠</m:t>
                      </m:r>
                    </m:den>
                  </m:f>
                </m:oMath>
              </a14:m>
              <a:endParaRPr lang="en-GB" sz="1400">
                <a:latin typeface="+mj-lt"/>
              </a:endParaRPr>
            </a:p>
          </xdr:txBody>
        </xdr:sp>
      </mc:Choice>
      <mc:Fallback xmlns="">
        <xdr:sp macro="" textlink="">
          <xdr:nvSpPr>
            <xdr:cNvPr id="16" name="TextBox 11">
              <a:extLst>
                <a:ext uri="{FF2B5EF4-FFF2-40B4-BE49-F238E27FC236}">
                  <a16:creationId xmlns:a16="http://schemas.microsoft.com/office/drawing/2014/main" id="{15989273-D85B-9540-A6FF-671E7E7C76FB}"/>
                </a:ext>
              </a:extLst>
            </xdr:cNvPr>
            <xdr:cNvSpPr txBox="1"/>
          </xdr:nvSpPr>
          <xdr:spPr>
            <a:xfrm>
              <a:off x="1016000" y="22809200"/>
              <a:ext cx="3887374" cy="315151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400">
                  <a:latin typeface="+mj-lt"/>
                </a:rPr>
                <a:t>R</a:t>
              </a:r>
              <a:r>
                <a:rPr lang="en-US" sz="1400" i="0">
                  <a:latin typeface="+mj-lt"/>
                </a:rPr>
                <a:t>OI</a:t>
              </a:r>
              <a:r>
                <a:rPr lang="en-GB" sz="1400" i="0">
                  <a:latin typeface="+mj-lt"/>
                </a:rPr>
                <a:t>=(</a:t>
              </a:r>
              <a:r>
                <a:rPr lang="en-US" sz="1400" i="0">
                  <a:latin typeface="+mj-lt"/>
                </a:rPr>
                <a:t>𝐿𝑢𝑐𝑟𝑜 𝑎𝑝ó𝑠 𝑜 𝐼𝑅</a:t>
              </a:r>
              <a:r>
                <a:rPr lang="en-GB" sz="1400" i="0">
                  <a:latin typeface="+mj-lt"/>
                </a:rPr>
                <a:t>)/(</a:t>
              </a:r>
              <a:r>
                <a:rPr lang="en-US" sz="1400" i="0">
                  <a:latin typeface="+mj-lt"/>
                </a:rPr>
                <a:t>𝐴𝑡𝑖𝑣𝑜𝑠 𝑡𝑜𝑡𝑎𝑖𝑠</a:t>
              </a:r>
              <a:r>
                <a:rPr lang="en-GB" sz="1400" i="0">
                  <a:latin typeface="+mj-lt"/>
                </a:rPr>
                <a:t>)</a:t>
              </a:r>
              <a:endParaRPr lang="en-GB" sz="1400">
                <a:latin typeface="+mj-lt"/>
              </a:endParaRPr>
            </a:p>
          </xdr:txBody>
        </xdr:sp>
      </mc:Fallback>
    </mc:AlternateContent>
    <xdr:clientData/>
  </xdr:twoCellAnchor>
  <xdr:twoCellAnchor>
    <xdr:from>
      <xdr:col>1</xdr:col>
      <xdr:colOff>63500</xdr:colOff>
      <xdr:row>121</xdr:row>
      <xdr:rowOff>25400</xdr:rowOff>
    </xdr:from>
    <xdr:to>
      <xdr:col>3</xdr:col>
      <xdr:colOff>403750</xdr:colOff>
      <xdr:row>122</xdr:row>
      <xdr:rowOff>163768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20">
              <a:extLst>
                <a:ext uri="{FF2B5EF4-FFF2-40B4-BE49-F238E27FC236}">
                  <a16:creationId xmlns:a16="http://schemas.microsoft.com/office/drawing/2014/main" id="{1B2D54B6-61A8-A64A-9C6A-7B6DD4EFBD50}"/>
                </a:ext>
              </a:extLst>
            </xdr:cNvPr>
            <xdr:cNvSpPr txBox="1"/>
          </xdr:nvSpPr>
          <xdr:spPr>
            <a:xfrm>
              <a:off x="889000" y="24612600"/>
              <a:ext cx="4366150" cy="34156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400">
                  <a:latin typeface="+mj-lt"/>
                </a:rPr>
                <a:t>R</a:t>
              </a:r>
              <a14:m>
                <m:oMath xmlns:m="http://schemas.openxmlformats.org/officeDocument/2006/math">
                  <m:r>
                    <m:rPr>
                      <m:sty m:val="p"/>
                    </m:rPr>
                    <a:rPr lang="en-US" sz="1400">
                      <a:latin typeface="Cambria Math" panose="02040503050406030204" pitchFamily="18" charset="0"/>
                    </a:rPr>
                    <m:t>O</m:t>
                  </m:r>
                  <m:r>
                    <a:rPr lang="en-US" sz="1400">
                      <a:latin typeface="Cambria Math" panose="02040503050406030204" pitchFamily="18" charset="0"/>
                    </a:rPr>
                    <m:t>𝐸</m:t>
                  </m:r>
                  <m:r>
                    <a:rPr lang="en-GB" sz="1400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GB" sz="1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400">
                          <a:latin typeface="Cambria Math" panose="02040503050406030204" pitchFamily="18" charset="0"/>
                        </a:rPr>
                        <m:t>𝐿𝑢𝑐𝑟𝑜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𝑎𝑝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ó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𝑜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𝐼𝑅</m:t>
                      </m:r>
                    </m:num>
                    <m:den>
                      <m:r>
                        <a:rPr lang="en-US" sz="1400">
                          <a:latin typeface="Cambria Math" panose="02040503050406030204" pitchFamily="18" charset="0"/>
                        </a:rPr>
                        <m:t>𝑃𝑎𝑡𝑟𝑖𝑚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ô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𝑛𝑖𝑜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𝐿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í</m:t>
                      </m:r>
                      <m:r>
                        <a:rPr lang="en-US" sz="1400">
                          <a:latin typeface="Cambria Math" panose="02040503050406030204" pitchFamily="18" charset="0"/>
                        </a:rPr>
                        <m:t>𝑞𝑢𝑖𝑑𝑜</m:t>
                      </m:r>
                    </m:den>
                  </m:f>
                </m:oMath>
              </a14:m>
              <a:endParaRPr lang="en-GB" sz="1400">
                <a:latin typeface="+mj-lt"/>
              </a:endParaRPr>
            </a:p>
          </xdr:txBody>
        </xdr:sp>
      </mc:Choice>
      <mc:Fallback xmlns="">
        <xdr:sp macro="" textlink="">
          <xdr:nvSpPr>
            <xdr:cNvPr id="17" name="TextBox 20">
              <a:extLst>
                <a:ext uri="{FF2B5EF4-FFF2-40B4-BE49-F238E27FC236}">
                  <a16:creationId xmlns:a16="http://schemas.microsoft.com/office/drawing/2014/main" id="{1B2D54B6-61A8-A64A-9C6A-7B6DD4EFBD50}"/>
                </a:ext>
              </a:extLst>
            </xdr:cNvPr>
            <xdr:cNvSpPr txBox="1"/>
          </xdr:nvSpPr>
          <xdr:spPr>
            <a:xfrm>
              <a:off x="889000" y="24612600"/>
              <a:ext cx="4366150" cy="34156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400">
                  <a:latin typeface="+mj-lt"/>
                </a:rPr>
                <a:t>R</a:t>
              </a:r>
              <a:r>
                <a:rPr lang="en-US" sz="1400" i="0">
                  <a:latin typeface="+mj-lt"/>
                </a:rPr>
                <a:t>O𝐸</a:t>
              </a:r>
              <a:r>
                <a:rPr lang="en-GB" sz="1400" i="0">
                  <a:latin typeface="+mj-lt"/>
                </a:rPr>
                <a:t>=(</a:t>
              </a:r>
              <a:r>
                <a:rPr lang="en-US" sz="1400" i="0">
                  <a:latin typeface="+mj-lt"/>
                </a:rPr>
                <a:t>𝐿𝑢𝑐𝑟𝑜 𝑎𝑝ó𝑠 𝑜 𝐼𝑅</a:t>
              </a:r>
              <a:r>
                <a:rPr lang="en-GB" sz="1400" i="0">
                  <a:latin typeface="+mj-lt"/>
                </a:rPr>
                <a:t>)/(</a:t>
              </a:r>
              <a:r>
                <a:rPr lang="en-US" sz="1400" i="0">
                  <a:latin typeface="+mj-lt"/>
                </a:rPr>
                <a:t>𝑃𝑎𝑡𝑟𝑖𝑚ô𝑛𝑖𝑜 𝐿í𝑞𝑢𝑖𝑑𝑜</a:t>
              </a:r>
              <a:r>
                <a:rPr lang="en-GB" sz="1400" i="0">
                  <a:latin typeface="+mj-lt"/>
                </a:rPr>
                <a:t>)</a:t>
              </a:r>
              <a:endParaRPr lang="en-GB" sz="1400">
                <a:latin typeface="+mj-lt"/>
              </a:endParaRP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CC6CC-E550-084D-A212-0D3BC75A33F0}">
  <dimension ref="B1:AE75"/>
  <sheetViews>
    <sheetView topLeftCell="A50" zoomScale="92" workbookViewId="0">
      <selection activeCell="D74" sqref="D74"/>
    </sheetView>
  </sheetViews>
  <sheetFormatPr baseColWidth="10" defaultRowHeight="16" x14ac:dyDescent="0.2"/>
  <cols>
    <col min="1" max="2" width="10.83203125" style="31"/>
    <col min="3" max="3" width="31.33203125" style="31" bestFit="1" customWidth="1"/>
    <col min="4" max="4" width="11" style="31" bestFit="1" customWidth="1"/>
    <col min="5" max="16384" width="10.83203125" style="31"/>
  </cols>
  <sheetData>
    <row r="1" spans="2:31" ht="17" thickBot="1" x14ac:dyDescent="0.25"/>
    <row r="2" spans="2:31" ht="26" x14ac:dyDescent="0.3">
      <c r="B2" s="45"/>
      <c r="C2" s="79" t="s">
        <v>56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7"/>
    </row>
    <row r="3" spans="2:31" x14ac:dyDescent="0.2">
      <c r="B3" s="4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 t="s">
        <v>94</v>
      </c>
      <c r="AD3" s="74"/>
      <c r="AE3" s="49"/>
    </row>
    <row r="4" spans="2:31" ht="17" thickBot="1" x14ac:dyDescent="0.25">
      <c r="B4" s="48"/>
      <c r="C4" s="80" t="s">
        <v>2</v>
      </c>
      <c r="D4" s="80"/>
      <c r="E4" s="38"/>
      <c r="F4" s="38"/>
      <c r="G4" s="80" t="s">
        <v>5</v>
      </c>
      <c r="H4" s="80"/>
      <c r="I4" s="32"/>
      <c r="J4" s="38"/>
      <c r="K4" s="80" t="s">
        <v>6</v>
      </c>
      <c r="L4" s="80"/>
      <c r="M4" s="32"/>
      <c r="N4" s="32"/>
      <c r="O4" s="80" t="s">
        <v>17</v>
      </c>
      <c r="P4" s="80"/>
      <c r="Q4" s="32"/>
      <c r="R4" s="38"/>
      <c r="W4" s="38"/>
      <c r="X4" s="33" t="s">
        <v>15</v>
      </c>
      <c r="Y4" s="33"/>
      <c r="Z4" s="38"/>
      <c r="AA4" s="38"/>
      <c r="AB4" s="38"/>
      <c r="AC4" s="34" t="s">
        <v>0</v>
      </c>
      <c r="AD4" s="35" t="s">
        <v>1</v>
      </c>
      <c r="AE4" s="76"/>
    </row>
    <row r="5" spans="2:31" ht="17" thickBot="1" x14ac:dyDescent="0.25">
      <c r="B5" s="48"/>
      <c r="C5" s="34" t="s">
        <v>0</v>
      </c>
      <c r="D5" s="35" t="s">
        <v>1</v>
      </c>
      <c r="E5" s="57"/>
      <c r="F5" s="57"/>
      <c r="G5" s="34" t="s">
        <v>0</v>
      </c>
      <c r="H5" s="35" t="s">
        <v>1</v>
      </c>
      <c r="I5" s="32"/>
      <c r="J5" s="57"/>
      <c r="K5" s="34" t="s">
        <v>0</v>
      </c>
      <c r="L5" s="35" t="s">
        <v>1</v>
      </c>
      <c r="M5" s="32"/>
      <c r="N5" s="58"/>
      <c r="O5" s="34" t="s">
        <v>0</v>
      </c>
      <c r="P5" s="35" t="s">
        <v>1</v>
      </c>
      <c r="Q5" s="58"/>
      <c r="R5" s="38"/>
      <c r="W5" s="57"/>
      <c r="X5" s="34" t="s">
        <v>0</v>
      </c>
      <c r="Y5" s="35" t="s">
        <v>1</v>
      </c>
      <c r="Z5" s="38"/>
      <c r="AA5" s="38"/>
      <c r="AB5" s="38"/>
      <c r="AC5" s="28">
        <f>AD24</f>
        <v>1400</v>
      </c>
      <c r="AD5" s="37">
        <f>F56</f>
        <v>0</v>
      </c>
      <c r="AE5" s="76">
        <v>17</v>
      </c>
    </row>
    <row r="6" spans="2:31" x14ac:dyDescent="0.2">
      <c r="B6" s="56">
        <v>1</v>
      </c>
      <c r="C6" s="28">
        <f>D24</f>
        <v>10000</v>
      </c>
      <c r="D6" s="37">
        <f>D59</f>
        <v>2000</v>
      </c>
      <c r="E6" s="57">
        <v>2</v>
      </c>
      <c r="F6" s="57">
        <v>2</v>
      </c>
      <c r="G6" s="28">
        <f>D6</f>
        <v>2000</v>
      </c>
      <c r="H6" s="37"/>
      <c r="I6" s="38"/>
      <c r="J6" s="57">
        <v>3</v>
      </c>
      <c r="K6" s="28">
        <f>D7</f>
        <v>3500</v>
      </c>
      <c r="L6" s="37">
        <f>AA40</f>
        <v>100</v>
      </c>
      <c r="M6" s="38"/>
      <c r="N6" s="57">
        <v>6</v>
      </c>
      <c r="O6" s="28">
        <f>D9</f>
        <v>2500</v>
      </c>
      <c r="P6" s="37">
        <f>D65</f>
        <v>300</v>
      </c>
      <c r="Q6" s="57">
        <v>8</v>
      </c>
      <c r="R6" s="38"/>
      <c r="W6" s="57">
        <v>9</v>
      </c>
      <c r="X6" s="28">
        <f>D66</f>
        <v>800</v>
      </c>
      <c r="Y6" s="37"/>
      <c r="Z6" s="38"/>
      <c r="AA6" s="38"/>
      <c r="AB6" s="38"/>
      <c r="AC6" s="28"/>
      <c r="AD6" s="37"/>
      <c r="AE6" s="76"/>
    </row>
    <row r="7" spans="2:31" x14ac:dyDescent="0.2">
      <c r="B7" s="56">
        <v>4</v>
      </c>
      <c r="C7" s="28">
        <f>H24</f>
        <v>5000</v>
      </c>
      <c r="D7" s="37">
        <f>D60</f>
        <v>3500</v>
      </c>
      <c r="E7" s="57">
        <v>3</v>
      </c>
      <c r="F7" s="57"/>
      <c r="G7" s="28"/>
      <c r="H7" s="37"/>
      <c r="I7" s="38"/>
      <c r="J7" s="57"/>
      <c r="K7" s="28"/>
      <c r="L7" s="37"/>
      <c r="M7" s="38"/>
      <c r="N7" s="57">
        <v>11</v>
      </c>
      <c r="O7" s="28">
        <f>L24</f>
        <v>500</v>
      </c>
      <c r="P7" s="37">
        <f>D67</f>
        <v>500</v>
      </c>
      <c r="Q7" s="57">
        <v>10</v>
      </c>
      <c r="R7" s="38"/>
      <c r="W7" s="57"/>
      <c r="X7" s="28"/>
      <c r="Y7" s="37"/>
      <c r="Z7" s="38"/>
      <c r="AA7" s="38"/>
      <c r="AB7" s="38"/>
      <c r="AC7" s="28"/>
      <c r="AD7" s="37"/>
      <c r="AE7" s="76"/>
    </row>
    <row r="8" spans="2:31" x14ac:dyDescent="0.2">
      <c r="B8" s="56">
        <v>7</v>
      </c>
      <c r="C8" s="28">
        <f>D64</f>
        <v>500</v>
      </c>
      <c r="D8" s="37">
        <f>D62</f>
        <v>200</v>
      </c>
      <c r="E8" s="57">
        <v>5</v>
      </c>
      <c r="F8" s="57"/>
      <c r="G8" s="28"/>
      <c r="H8" s="37"/>
      <c r="I8" s="38"/>
      <c r="J8" s="57"/>
      <c r="K8" s="28"/>
      <c r="L8" s="37"/>
      <c r="M8" s="38"/>
      <c r="N8" s="57"/>
      <c r="O8" s="28"/>
      <c r="P8" s="37"/>
      <c r="Q8" s="57"/>
      <c r="R8" s="38"/>
      <c r="W8" s="57"/>
      <c r="X8" s="28"/>
      <c r="Y8" s="37"/>
      <c r="Z8" s="38"/>
      <c r="AA8" s="38"/>
      <c r="AB8" s="38"/>
      <c r="AC8" s="28"/>
      <c r="AD8" s="37"/>
      <c r="AE8" s="76"/>
    </row>
    <row r="9" spans="2:31" x14ac:dyDescent="0.2">
      <c r="B9" s="56">
        <v>12</v>
      </c>
      <c r="C9" s="28">
        <f>P24</f>
        <v>10000</v>
      </c>
      <c r="D9" s="37">
        <f>D63</f>
        <v>2500</v>
      </c>
      <c r="E9" s="57">
        <v>6</v>
      </c>
      <c r="F9" s="57"/>
      <c r="G9" s="28"/>
      <c r="H9" s="37"/>
      <c r="I9" s="38"/>
      <c r="J9" s="57"/>
      <c r="K9" s="28"/>
      <c r="L9" s="37"/>
      <c r="M9" s="38"/>
      <c r="N9" s="57"/>
      <c r="O9" s="28"/>
      <c r="P9" s="37"/>
      <c r="Q9" s="57"/>
      <c r="R9" s="38"/>
      <c r="W9" s="57"/>
      <c r="X9" s="28"/>
      <c r="Y9" s="37"/>
      <c r="Z9" s="38"/>
      <c r="AA9" s="38"/>
      <c r="AB9" s="38"/>
      <c r="AC9" s="28"/>
      <c r="AD9" s="37"/>
      <c r="AE9" s="76"/>
    </row>
    <row r="10" spans="2:31" ht="17" thickBot="1" x14ac:dyDescent="0.25">
      <c r="B10" s="56"/>
      <c r="C10" s="28"/>
      <c r="D10" s="37">
        <f>F71</f>
        <v>80</v>
      </c>
      <c r="E10" s="57">
        <v>14</v>
      </c>
      <c r="F10" s="57"/>
      <c r="G10" s="28"/>
      <c r="H10" s="37"/>
      <c r="I10" s="38"/>
      <c r="J10" s="57"/>
      <c r="K10" s="28"/>
      <c r="L10" s="37"/>
      <c r="M10" s="38"/>
      <c r="N10" s="57"/>
      <c r="O10" s="28"/>
      <c r="P10" s="37"/>
      <c r="Q10" s="57"/>
      <c r="R10" s="38"/>
      <c r="W10" s="57"/>
      <c r="X10" s="28"/>
      <c r="Y10" s="37"/>
      <c r="Z10" s="38"/>
      <c r="AA10" s="38"/>
      <c r="AB10" s="38"/>
      <c r="AC10" s="39">
        <f>SUM(AC5:AC9)</f>
        <v>1400</v>
      </c>
      <c r="AD10" s="40">
        <f>SUM(AD5:AD9)</f>
        <v>0</v>
      </c>
      <c r="AE10" s="76"/>
    </row>
    <row r="11" spans="2:31" ht="17" thickTop="1" x14ac:dyDescent="0.2">
      <c r="B11" s="56"/>
      <c r="C11" s="28"/>
      <c r="D11" s="37">
        <f>R45</f>
        <v>45.500000000000007</v>
      </c>
      <c r="E11" s="57">
        <v>15</v>
      </c>
      <c r="F11" s="57"/>
      <c r="G11" s="28"/>
      <c r="H11" s="37"/>
      <c r="I11" s="38"/>
      <c r="J11" s="57"/>
      <c r="K11" s="28"/>
      <c r="L11" s="37"/>
      <c r="M11" s="38"/>
      <c r="N11" s="57"/>
      <c r="O11" s="28"/>
      <c r="P11" s="37"/>
      <c r="Q11" s="57"/>
      <c r="R11" s="38"/>
      <c r="W11" s="57"/>
      <c r="X11" s="28"/>
      <c r="Y11" s="37"/>
      <c r="Z11" s="38"/>
      <c r="AA11" s="38"/>
      <c r="AB11" s="38"/>
      <c r="AC11" s="38"/>
      <c r="AD11" s="38"/>
      <c r="AE11" s="49"/>
    </row>
    <row r="12" spans="2:31" x14ac:dyDescent="0.2">
      <c r="B12" s="56"/>
      <c r="C12" s="28"/>
      <c r="D12" s="37">
        <f>V40</f>
        <v>100</v>
      </c>
      <c r="E12" s="57">
        <v>17</v>
      </c>
      <c r="F12" s="57"/>
      <c r="G12" s="28"/>
      <c r="H12" s="37"/>
      <c r="I12" s="38"/>
      <c r="J12" s="57"/>
      <c r="K12" s="28"/>
      <c r="L12" s="37"/>
      <c r="M12" s="38"/>
      <c r="N12" s="57"/>
      <c r="O12" s="28"/>
      <c r="P12" s="37"/>
      <c r="Q12" s="57"/>
      <c r="R12" s="38"/>
      <c r="W12" s="57"/>
      <c r="X12" s="28"/>
      <c r="Y12" s="37"/>
      <c r="Z12" s="38"/>
      <c r="AA12" s="38"/>
      <c r="AB12" s="38"/>
      <c r="AC12" s="38"/>
      <c r="AD12" s="38"/>
      <c r="AE12" s="49"/>
    </row>
    <row r="13" spans="2:31" ht="17" thickBot="1" x14ac:dyDescent="0.25">
      <c r="B13" s="48"/>
      <c r="C13" s="39">
        <f>SUM(C6:C10)</f>
        <v>25500</v>
      </c>
      <c r="D13" s="40">
        <f>SUM(D6:D12)</f>
        <v>8425.5</v>
      </c>
      <c r="E13" s="38"/>
      <c r="F13" s="38"/>
      <c r="G13" s="39">
        <f>SUM(G6:G10)</f>
        <v>2000</v>
      </c>
      <c r="H13" s="40">
        <f>SUM(H6:H10)</f>
        <v>0</v>
      </c>
      <c r="I13" s="38"/>
      <c r="J13" s="38"/>
      <c r="K13" s="39">
        <f>SUM(K6:K10)</f>
        <v>3500</v>
      </c>
      <c r="L13" s="40">
        <f>SUM(L6:L10)</f>
        <v>100</v>
      </c>
      <c r="M13" s="38"/>
      <c r="N13" s="38"/>
      <c r="O13" s="39">
        <f>SUM(O6:O10)</f>
        <v>3000</v>
      </c>
      <c r="P13" s="40">
        <f>SUM(P6:P10)</f>
        <v>800</v>
      </c>
      <c r="Q13" s="38"/>
      <c r="R13" s="38"/>
      <c r="W13" s="38"/>
      <c r="X13" s="39">
        <f>SUM(X6:X10)</f>
        <v>800</v>
      </c>
      <c r="Y13" s="40">
        <f>SUM(Y6:Y10)</f>
        <v>0</v>
      </c>
      <c r="Z13" s="38"/>
      <c r="AA13" s="38"/>
      <c r="AB13" s="38"/>
      <c r="AC13" s="38"/>
      <c r="AD13" s="38"/>
      <c r="AE13" s="49"/>
    </row>
    <row r="14" spans="2:31" ht="17" thickTop="1" x14ac:dyDescent="0.2">
      <c r="B14" s="4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W14" s="38"/>
      <c r="X14" s="38"/>
      <c r="Y14" s="38"/>
      <c r="Z14" s="38"/>
      <c r="AA14" s="38"/>
      <c r="AB14" s="38"/>
      <c r="AC14" s="38"/>
      <c r="AD14" s="38"/>
      <c r="AE14" s="49"/>
    </row>
    <row r="15" spans="2:31" x14ac:dyDescent="0.2">
      <c r="B15" s="48"/>
      <c r="C15" s="61">
        <f>C13-D13</f>
        <v>17074.5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61">
        <f>O13-P13</f>
        <v>2200</v>
      </c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49"/>
    </row>
    <row r="16" spans="2:31" ht="17" thickBot="1" x14ac:dyDescent="0.25"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</row>
    <row r="17" spans="2:31" x14ac:dyDescent="0.2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2:31" x14ac:dyDescent="0.2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2:31" ht="17" thickBot="1" x14ac:dyDescent="0.25"/>
    <row r="20" spans="2:31" ht="26" x14ac:dyDescent="0.3">
      <c r="B20" s="45"/>
      <c r="C20" s="53" t="s">
        <v>57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7"/>
    </row>
    <row r="21" spans="2:31" x14ac:dyDescent="0.2">
      <c r="B21" s="4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49"/>
    </row>
    <row r="22" spans="2:31" x14ac:dyDescent="0.2">
      <c r="B22" s="48"/>
      <c r="C22" s="80" t="s">
        <v>3</v>
      </c>
      <c r="D22" s="80"/>
      <c r="E22" s="38"/>
      <c r="F22" s="38"/>
      <c r="G22" s="80" t="s">
        <v>13</v>
      </c>
      <c r="H22" s="80"/>
      <c r="I22" s="32"/>
      <c r="J22" s="38"/>
      <c r="K22" s="80" t="s">
        <v>37</v>
      </c>
      <c r="L22" s="80"/>
      <c r="M22" s="32"/>
      <c r="N22" s="38"/>
      <c r="O22" s="33" t="s">
        <v>30</v>
      </c>
      <c r="P22" s="33"/>
      <c r="Q22" s="38"/>
      <c r="R22" s="38"/>
      <c r="S22" s="38"/>
      <c r="T22" s="38" t="s">
        <v>89</v>
      </c>
      <c r="U22" s="63" t="s">
        <v>30</v>
      </c>
      <c r="V22" s="63"/>
      <c r="W22" s="38"/>
      <c r="X22" s="38"/>
      <c r="Y22" s="38"/>
      <c r="Z22" s="38"/>
      <c r="AA22" s="38"/>
      <c r="AB22" s="38"/>
      <c r="AC22" s="38" t="s">
        <v>94</v>
      </c>
      <c r="AD22" s="74"/>
      <c r="AE22" s="49"/>
    </row>
    <row r="23" spans="2:31" ht="17" thickBot="1" x14ac:dyDescent="0.25">
      <c r="B23" s="48"/>
      <c r="C23" s="34" t="s">
        <v>0</v>
      </c>
      <c r="D23" s="35" t="s">
        <v>1</v>
      </c>
      <c r="E23" s="57"/>
      <c r="F23" s="38"/>
      <c r="G23" s="34" t="s">
        <v>0</v>
      </c>
      <c r="H23" s="35" t="s">
        <v>1</v>
      </c>
      <c r="I23" s="32"/>
      <c r="J23" s="38"/>
      <c r="K23" s="34" t="s">
        <v>0</v>
      </c>
      <c r="L23" s="35" t="s">
        <v>1</v>
      </c>
      <c r="M23" s="32"/>
      <c r="N23" s="38"/>
      <c r="O23" s="34" t="s">
        <v>0</v>
      </c>
      <c r="P23" s="35" t="s">
        <v>1</v>
      </c>
      <c r="Q23" s="57"/>
      <c r="R23" s="38"/>
      <c r="S23" s="38"/>
      <c r="T23" s="38"/>
      <c r="U23" s="34" t="s">
        <v>0</v>
      </c>
      <c r="V23" s="35" t="s">
        <v>1</v>
      </c>
      <c r="W23" s="57"/>
      <c r="X23" s="38"/>
      <c r="Y23" s="38"/>
      <c r="Z23" s="38"/>
      <c r="AA23" s="38"/>
      <c r="AB23" s="38"/>
      <c r="AC23" s="34" t="s">
        <v>0</v>
      </c>
      <c r="AD23" s="35" t="s">
        <v>1</v>
      </c>
      <c r="AE23" s="76"/>
    </row>
    <row r="24" spans="2:31" x14ac:dyDescent="0.2">
      <c r="B24" s="48"/>
      <c r="C24" s="28"/>
      <c r="D24" s="37">
        <f>D58</f>
        <v>10000</v>
      </c>
      <c r="E24" s="57">
        <v>1</v>
      </c>
      <c r="F24" s="38"/>
      <c r="G24" s="28"/>
      <c r="H24" s="37">
        <f>D61</f>
        <v>5000</v>
      </c>
      <c r="I24" s="57">
        <v>4</v>
      </c>
      <c r="J24" s="38"/>
      <c r="K24" s="38"/>
      <c r="L24" s="41">
        <f>D68</f>
        <v>500</v>
      </c>
      <c r="M24" s="57">
        <v>11</v>
      </c>
      <c r="N24" s="38"/>
      <c r="O24" s="28"/>
      <c r="P24" s="37">
        <f>D69</f>
        <v>10000</v>
      </c>
      <c r="Q24" s="57">
        <v>12</v>
      </c>
      <c r="R24" s="38"/>
      <c r="S24" s="38"/>
      <c r="T24" s="38"/>
      <c r="U24" s="28"/>
      <c r="V24" s="37">
        <f>D73</f>
        <v>20</v>
      </c>
      <c r="W24" s="57">
        <v>16</v>
      </c>
      <c r="X24" s="38"/>
      <c r="Y24" s="38"/>
      <c r="Z24" s="38"/>
      <c r="AA24" s="38"/>
      <c r="AB24" s="38"/>
      <c r="AC24" s="28"/>
      <c r="AD24" s="37">
        <f>F74</f>
        <v>1400</v>
      </c>
      <c r="AE24" s="76">
        <v>17</v>
      </c>
    </row>
    <row r="25" spans="2:31" x14ac:dyDescent="0.2">
      <c r="B25" s="48"/>
      <c r="C25" s="28"/>
      <c r="D25" s="37"/>
      <c r="E25" s="57"/>
      <c r="F25" s="38"/>
      <c r="G25" s="28"/>
      <c r="H25" s="37"/>
      <c r="I25" s="57"/>
      <c r="J25" s="38"/>
      <c r="K25" s="38"/>
      <c r="L25" s="42"/>
      <c r="M25" s="57"/>
      <c r="N25" s="38"/>
      <c r="O25" s="28"/>
      <c r="P25" s="37"/>
      <c r="Q25" s="57"/>
      <c r="R25" s="38"/>
      <c r="S25" s="38"/>
      <c r="T25" s="38"/>
      <c r="U25" s="28"/>
      <c r="V25" s="37"/>
      <c r="W25" s="57"/>
      <c r="X25" s="38"/>
      <c r="Y25" s="38"/>
      <c r="Z25" s="38"/>
      <c r="AA25" s="38"/>
      <c r="AB25" s="38"/>
      <c r="AC25" s="28"/>
      <c r="AD25" s="37"/>
      <c r="AE25" s="76"/>
    </row>
    <row r="26" spans="2:31" x14ac:dyDescent="0.2">
      <c r="B26" s="48"/>
      <c r="C26" s="28"/>
      <c r="D26" s="37"/>
      <c r="E26" s="57"/>
      <c r="F26" s="38"/>
      <c r="G26" s="28"/>
      <c r="H26" s="37"/>
      <c r="I26" s="57"/>
      <c r="J26" s="38"/>
      <c r="K26" s="38"/>
      <c r="L26" s="42"/>
      <c r="M26" s="57"/>
      <c r="N26" s="38"/>
      <c r="O26" s="28"/>
      <c r="P26" s="37"/>
      <c r="Q26" s="57"/>
      <c r="R26" s="38"/>
      <c r="S26" s="38"/>
      <c r="T26" s="38"/>
      <c r="U26" s="28"/>
      <c r="V26" s="37"/>
      <c r="W26" s="57"/>
      <c r="X26" s="38"/>
      <c r="Y26" s="38"/>
      <c r="Z26" s="38"/>
      <c r="AA26" s="38"/>
      <c r="AB26" s="38"/>
      <c r="AC26" s="28"/>
      <c r="AD26" s="37"/>
      <c r="AE26" s="76"/>
    </row>
    <row r="27" spans="2:31" x14ac:dyDescent="0.2">
      <c r="B27" s="48"/>
      <c r="C27" s="28"/>
      <c r="D27" s="37"/>
      <c r="E27" s="57"/>
      <c r="F27" s="38"/>
      <c r="G27" s="28"/>
      <c r="H27" s="37"/>
      <c r="I27" s="57"/>
      <c r="J27" s="38"/>
      <c r="K27" s="38"/>
      <c r="L27" s="42"/>
      <c r="M27" s="57"/>
      <c r="N27" s="38"/>
      <c r="O27" s="28"/>
      <c r="P27" s="37"/>
      <c r="Q27" s="57"/>
      <c r="R27" s="38"/>
      <c r="S27" s="38"/>
      <c r="T27" s="38"/>
      <c r="U27" s="28"/>
      <c r="V27" s="37"/>
      <c r="W27" s="57"/>
      <c r="X27" s="38"/>
      <c r="Y27" s="38"/>
      <c r="Z27" s="38"/>
      <c r="AA27" s="38"/>
      <c r="AB27" s="38"/>
      <c r="AC27" s="28"/>
      <c r="AD27" s="37"/>
      <c r="AE27" s="76"/>
    </row>
    <row r="28" spans="2:31" x14ac:dyDescent="0.2">
      <c r="B28" s="48"/>
      <c r="C28" s="28"/>
      <c r="D28" s="37"/>
      <c r="E28" s="57"/>
      <c r="F28" s="38"/>
      <c r="G28" s="28"/>
      <c r="H28" s="37"/>
      <c r="I28" s="57"/>
      <c r="J28" s="38"/>
      <c r="K28" s="38"/>
      <c r="L28" s="42"/>
      <c r="M28" s="57"/>
      <c r="N28" s="38"/>
      <c r="O28" s="28"/>
      <c r="P28" s="37"/>
      <c r="Q28" s="57"/>
      <c r="R28" s="38"/>
      <c r="S28" s="38"/>
      <c r="T28" s="38"/>
      <c r="U28" s="28"/>
      <c r="V28" s="37"/>
      <c r="W28" s="57"/>
      <c r="X28" s="38"/>
      <c r="Y28" s="38"/>
      <c r="Z28" s="38"/>
      <c r="AA28" s="38"/>
      <c r="AB28" s="38"/>
      <c r="AC28" s="28"/>
      <c r="AD28" s="37"/>
      <c r="AE28" s="76"/>
    </row>
    <row r="29" spans="2:31" ht="17" thickBot="1" x14ac:dyDescent="0.25">
      <c r="B29" s="48"/>
      <c r="C29" s="39">
        <f>SUM(C24:C28)</f>
        <v>0</v>
      </c>
      <c r="D29" s="40">
        <f>SUM(D24:D28)</f>
        <v>10000</v>
      </c>
      <c r="E29" s="57"/>
      <c r="F29" s="38"/>
      <c r="G29" s="39">
        <f>SUM(G24:G28)</f>
        <v>0</v>
      </c>
      <c r="H29" s="40">
        <f>SUM(H24:H28)</f>
        <v>5000</v>
      </c>
      <c r="I29" s="38"/>
      <c r="J29" s="38"/>
      <c r="K29" s="43">
        <f>SUM(K24:K28)</f>
        <v>0</v>
      </c>
      <c r="L29" s="44">
        <f>SUM(L24:L28)</f>
        <v>500</v>
      </c>
      <c r="M29" s="57"/>
      <c r="N29" s="38"/>
      <c r="O29" s="39">
        <f>SUM(O24:O28)</f>
        <v>0</v>
      </c>
      <c r="P29" s="40">
        <f>SUM(P24:P28)</f>
        <v>10000</v>
      </c>
      <c r="Q29" s="57"/>
      <c r="R29" s="38"/>
      <c r="S29" s="38"/>
      <c r="T29" s="38"/>
      <c r="U29" s="39">
        <f>SUM(U24:U28)</f>
        <v>0</v>
      </c>
      <c r="V29" s="40">
        <f>SUM(V24:V28)</f>
        <v>20</v>
      </c>
      <c r="W29" s="57"/>
      <c r="X29" s="38"/>
      <c r="Y29" s="38"/>
      <c r="Z29" s="38"/>
      <c r="AA29" s="38"/>
      <c r="AB29" s="38"/>
      <c r="AC29" s="39">
        <f>SUM(AC24:AC28)</f>
        <v>0</v>
      </c>
      <c r="AD29" s="40">
        <f>SUM(AD24:AD28)</f>
        <v>1400</v>
      </c>
      <c r="AE29" s="76"/>
    </row>
    <row r="30" spans="2:31" ht="17" thickTop="1" x14ac:dyDescent="0.2">
      <c r="B30" s="4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49"/>
    </row>
    <row r="31" spans="2:31" ht="17" thickBot="1" x14ac:dyDescent="0.25"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2"/>
    </row>
    <row r="34" spans="2:29" ht="17" thickBot="1" x14ac:dyDescent="0.25"/>
    <row r="35" spans="2:29" x14ac:dyDescent="0.2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7"/>
    </row>
    <row r="36" spans="2:29" ht="26" x14ac:dyDescent="0.3">
      <c r="B36" s="48"/>
      <c r="C36" s="55" t="s">
        <v>58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49"/>
    </row>
    <row r="37" spans="2:29" x14ac:dyDescent="0.2">
      <c r="B37" s="4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49"/>
    </row>
    <row r="38" spans="2:29" x14ac:dyDescent="0.2">
      <c r="B38" s="54"/>
      <c r="C38" s="33" t="s">
        <v>14</v>
      </c>
      <c r="D38" s="33"/>
      <c r="E38" s="38"/>
      <c r="F38" s="38"/>
      <c r="G38" s="33" t="s">
        <v>21</v>
      </c>
      <c r="H38" s="33"/>
      <c r="I38" s="38"/>
      <c r="J38" s="33" t="s">
        <v>29</v>
      </c>
      <c r="K38" s="33"/>
      <c r="L38" s="32"/>
      <c r="M38" s="38"/>
      <c r="N38" s="60" t="s">
        <v>64</v>
      </c>
      <c r="O38" s="60"/>
      <c r="P38" s="32"/>
      <c r="Q38" s="38"/>
      <c r="R38" s="60" t="s">
        <v>65</v>
      </c>
      <c r="S38" s="60"/>
      <c r="T38" s="38"/>
      <c r="U38" s="38"/>
      <c r="V38" s="38" t="s">
        <v>94</v>
      </c>
      <c r="W38" s="74"/>
      <c r="X38" s="38"/>
      <c r="Y38" s="38"/>
      <c r="Z38" s="38"/>
      <c r="AA38" s="80" t="s">
        <v>34</v>
      </c>
      <c r="AB38" s="80"/>
      <c r="AC38" s="49"/>
    </row>
    <row r="39" spans="2:29" ht="17" thickBot="1" x14ac:dyDescent="0.25">
      <c r="B39" s="59"/>
      <c r="C39" s="34" t="s">
        <v>0</v>
      </c>
      <c r="D39" s="35" t="s">
        <v>1</v>
      </c>
      <c r="E39" s="38"/>
      <c r="F39" s="38"/>
      <c r="G39" s="34" t="s">
        <v>0</v>
      </c>
      <c r="H39" s="35" t="s">
        <v>1</v>
      </c>
      <c r="I39" s="38"/>
      <c r="J39" s="34" t="s">
        <v>0</v>
      </c>
      <c r="K39" s="35" t="s">
        <v>1</v>
      </c>
      <c r="L39" s="32"/>
      <c r="M39" s="38"/>
      <c r="N39" s="34" t="s">
        <v>0</v>
      </c>
      <c r="O39" s="35" t="s">
        <v>1</v>
      </c>
      <c r="P39" s="32"/>
      <c r="Q39" s="38"/>
      <c r="R39" s="34" t="s">
        <v>0</v>
      </c>
      <c r="S39" s="35" t="s">
        <v>1</v>
      </c>
      <c r="T39" s="38"/>
      <c r="U39" s="38"/>
      <c r="V39" s="34" t="s">
        <v>0</v>
      </c>
      <c r="W39" s="35" t="s">
        <v>1</v>
      </c>
      <c r="X39" s="57"/>
      <c r="Y39" s="38"/>
      <c r="Z39" s="57"/>
      <c r="AA39" s="34" t="s">
        <v>0</v>
      </c>
      <c r="AB39" s="35" t="s">
        <v>1</v>
      </c>
      <c r="AC39" s="49"/>
    </row>
    <row r="40" spans="2:29" x14ac:dyDescent="0.2">
      <c r="B40" s="56">
        <v>5</v>
      </c>
      <c r="C40" s="28">
        <f>D8</f>
        <v>200</v>
      </c>
      <c r="D40" s="37"/>
      <c r="E40" s="38"/>
      <c r="F40" s="57">
        <v>8</v>
      </c>
      <c r="G40" s="28">
        <f>P6</f>
        <v>300</v>
      </c>
      <c r="H40" s="37"/>
      <c r="I40" s="38"/>
      <c r="J40" s="28"/>
      <c r="K40" s="37">
        <f>D64</f>
        <v>500</v>
      </c>
      <c r="L40" s="57">
        <v>7</v>
      </c>
      <c r="M40" s="57">
        <v>14</v>
      </c>
      <c r="N40" s="28">
        <f>D71</f>
        <v>100</v>
      </c>
      <c r="O40" s="37"/>
      <c r="P40" s="57"/>
      <c r="Q40" s="57">
        <v>15</v>
      </c>
      <c r="R40" s="65">
        <f>D72</f>
        <v>45.500000000000007</v>
      </c>
      <c r="S40" s="37"/>
      <c r="T40" s="38"/>
      <c r="U40" s="38"/>
      <c r="V40" s="28">
        <f>D74</f>
        <v>100</v>
      </c>
      <c r="W40" s="37"/>
      <c r="X40" s="57">
        <v>17</v>
      </c>
      <c r="Y40" s="38"/>
      <c r="Z40" s="57">
        <v>13</v>
      </c>
      <c r="AA40" s="28">
        <f>D70</f>
        <v>100</v>
      </c>
      <c r="AB40" s="37"/>
      <c r="AC40" s="49"/>
    </row>
    <row r="41" spans="2:29" x14ac:dyDescent="0.2">
      <c r="B41" s="56"/>
      <c r="C41" s="28"/>
      <c r="D41" s="37"/>
      <c r="E41" s="38"/>
      <c r="F41" s="57">
        <v>10</v>
      </c>
      <c r="G41" s="28">
        <f>P7</f>
        <v>500</v>
      </c>
      <c r="H41" s="37"/>
      <c r="I41" s="38"/>
      <c r="J41" s="28"/>
      <c r="K41" s="37">
        <f>D66</f>
        <v>800</v>
      </c>
      <c r="L41" s="57">
        <v>9</v>
      </c>
      <c r="M41" s="38"/>
      <c r="N41" s="28"/>
      <c r="O41" s="37"/>
      <c r="P41" s="57"/>
      <c r="Q41" s="38"/>
      <c r="R41" s="28"/>
      <c r="S41" s="37"/>
      <c r="T41" s="38"/>
      <c r="U41" s="38"/>
      <c r="V41" s="28"/>
      <c r="W41" s="37"/>
      <c r="X41" s="57"/>
      <c r="Y41" s="38"/>
      <c r="Z41" s="57"/>
      <c r="AA41" s="28"/>
      <c r="AB41" s="37"/>
      <c r="AC41" s="49"/>
    </row>
    <row r="42" spans="2:29" x14ac:dyDescent="0.2">
      <c r="B42" s="56"/>
      <c r="C42" s="28"/>
      <c r="D42" s="37"/>
      <c r="E42" s="38"/>
      <c r="F42" s="57"/>
      <c r="G42" s="28"/>
      <c r="H42" s="37"/>
      <c r="I42" s="38"/>
      <c r="J42" s="28"/>
      <c r="K42" s="37"/>
      <c r="L42" s="57"/>
      <c r="M42" s="38"/>
      <c r="N42" s="28"/>
      <c r="O42" s="37"/>
      <c r="P42" s="57"/>
      <c r="Q42" s="38"/>
      <c r="R42" s="28"/>
      <c r="S42" s="37"/>
      <c r="T42" s="38"/>
      <c r="U42" s="38"/>
      <c r="V42" s="28"/>
      <c r="W42" s="37"/>
      <c r="X42" s="57"/>
      <c r="Y42" s="38"/>
      <c r="Z42" s="57"/>
      <c r="AA42" s="28"/>
      <c r="AB42" s="37"/>
      <c r="AC42" s="49"/>
    </row>
    <row r="43" spans="2:29" x14ac:dyDescent="0.2">
      <c r="B43" s="56"/>
      <c r="C43" s="28"/>
      <c r="D43" s="37"/>
      <c r="E43" s="38"/>
      <c r="F43" s="57"/>
      <c r="G43" s="28"/>
      <c r="H43" s="37"/>
      <c r="I43" s="38"/>
      <c r="J43" s="28"/>
      <c r="K43" s="37"/>
      <c r="L43" s="57"/>
      <c r="M43" s="38"/>
      <c r="N43" s="28"/>
      <c r="O43" s="37"/>
      <c r="P43" s="57"/>
      <c r="Q43" s="38"/>
      <c r="R43" s="28"/>
      <c r="S43" s="37"/>
      <c r="T43" s="38"/>
      <c r="U43" s="38"/>
      <c r="V43" s="28"/>
      <c r="W43" s="37"/>
      <c r="X43" s="57"/>
      <c r="Y43" s="38"/>
      <c r="Z43" s="57"/>
      <c r="AA43" s="28"/>
      <c r="AB43" s="37"/>
      <c r="AC43" s="49"/>
    </row>
    <row r="44" spans="2:29" x14ac:dyDescent="0.2">
      <c r="B44" s="56"/>
      <c r="C44" s="28"/>
      <c r="D44" s="37"/>
      <c r="E44" s="38"/>
      <c r="F44" s="57"/>
      <c r="G44" s="28"/>
      <c r="H44" s="37"/>
      <c r="I44" s="38"/>
      <c r="J44" s="28"/>
      <c r="K44" s="37"/>
      <c r="L44" s="57"/>
      <c r="M44" s="38"/>
      <c r="N44" s="28"/>
      <c r="O44" s="37"/>
      <c r="P44" s="57"/>
      <c r="Q44" s="38"/>
      <c r="R44" s="28"/>
      <c r="S44" s="37"/>
      <c r="T44" s="38"/>
      <c r="U44" s="38"/>
      <c r="V44" s="28"/>
      <c r="W44" s="37"/>
      <c r="X44" s="57"/>
      <c r="Y44" s="38"/>
      <c r="Z44" s="57"/>
      <c r="AA44" s="28"/>
      <c r="AB44" s="37"/>
      <c r="AC44" s="49"/>
    </row>
    <row r="45" spans="2:29" ht="17" thickBot="1" x14ac:dyDescent="0.25">
      <c r="B45" s="56"/>
      <c r="C45" s="39">
        <f>SUM(C40:C44)</f>
        <v>200</v>
      </c>
      <c r="D45" s="40">
        <f>SUM(D40:D44)</f>
        <v>0</v>
      </c>
      <c r="E45" s="38"/>
      <c r="F45" s="57"/>
      <c r="G45" s="39">
        <f>SUM(G40:G44)</f>
        <v>800</v>
      </c>
      <c r="H45" s="40">
        <f>SUM(H40:H44)</f>
        <v>0</v>
      </c>
      <c r="I45" s="38"/>
      <c r="J45" s="39">
        <f>SUM(J40:J44)</f>
        <v>0</v>
      </c>
      <c r="K45" s="40">
        <f>SUM(K40:K44)</f>
        <v>1300</v>
      </c>
      <c r="L45" s="57"/>
      <c r="M45" s="38"/>
      <c r="N45" s="39">
        <f>SUM(N40:N44)</f>
        <v>100</v>
      </c>
      <c r="O45" s="40">
        <f>SUM(O40:O44)</f>
        <v>0</v>
      </c>
      <c r="P45" s="57"/>
      <c r="Q45" s="38"/>
      <c r="R45" s="39">
        <f>SUM(R40:R44)</f>
        <v>45.500000000000007</v>
      </c>
      <c r="S45" s="40">
        <f>SUM(S40:S44)</f>
        <v>0</v>
      </c>
      <c r="T45" s="38"/>
      <c r="U45" s="38"/>
      <c r="V45" s="39">
        <f>SUM(V40:V44)</f>
        <v>100</v>
      </c>
      <c r="W45" s="40">
        <f>SUM(W40:W44)</f>
        <v>0</v>
      </c>
      <c r="X45" s="57"/>
      <c r="Y45" s="38"/>
      <c r="Z45" s="57"/>
      <c r="AA45" s="39">
        <f>SUM(AA40:AA44)</f>
        <v>100</v>
      </c>
      <c r="AB45" s="40">
        <f>SUM(AB40:AB44)</f>
        <v>0</v>
      </c>
      <c r="AC45" s="49"/>
    </row>
    <row r="46" spans="2:29" ht="17" thickTop="1" x14ac:dyDescent="0.2">
      <c r="B46" s="4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57"/>
      <c r="AA46" s="28"/>
      <c r="AB46" s="37"/>
      <c r="AC46" s="49"/>
    </row>
    <row r="47" spans="2:29" ht="17" thickBot="1" x14ac:dyDescent="0.25">
      <c r="B47" s="50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2"/>
    </row>
    <row r="48" spans="2:29" x14ac:dyDescent="0.2">
      <c r="Z48" s="38"/>
      <c r="AA48" s="38"/>
      <c r="AB48" s="38"/>
      <c r="AC48" s="38"/>
    </row>
    <row r="57" spans="2:5" x14ac:dyDescent="0.2">
      <c r="D57" s="31" t="s">
        <v>9</v>
      </c>
      <c r="E57" s="31" t="s">
        <v>10</v>
      </c>
    </row>
    <row r="58" spans="2:5" x14ac:dyDescent="0.2">
      <c r="B58" s="31">
        <v>1</v>
      </c>
      <c r="C58" s="31" t="s">
        <v>8</v>
      </c>
      <c r="D58" s="36">
        <f>10000</f>
        <v>10000</v>
      </c>
      <c r="E58" s="31" t="s">
        <v>1</v>
      </c>
    </row>
    <row r="59" spans="2:5" x14ac:dyDescent="0.2">
      <c r="B59" s="31">
        <v>2</v>
      </c>
      <c r="C59" s="31" t="s">
        <v>11</v>
      </c>
      <c r="D59" s="36">
        <f>2000</f>
        <v>2000</v>
      </c>
      <c r="E59" s="31" t="s">
        <v>0</v>
      </c>
    </row>
    <row r="60" spans="2:5" x14ac:dyDescent="0.2">
      <c r="B60" s="31">
        <v>3</v>
      </c>
      <c r="C60" s="31" t="s">
        <v>12</v>
      </c>
      <c r="D60" s="36">
        <f>3500</f>
        <v>3500</v>
      </c>
      <c r="E60" s="31" t="s">
        <v>0</v>
      </c>
    </row>
    <row r="61" spans="2:5" x14ac:dyDescent="0.2">
      <c r="B61" s="31">
        <v>4</v>
      </c>
      <c r="C61" s="31" t="s">
        <v>13</v>
      </c>
      <c r="D61" s="36">
        <f>5000</f>
        <v>5000</v>
      </c>
      <c r="E61" s="31" t="s">
        <v>1</v>
      </c>
    </row>
    <row r="62" spans="2:5" x14ac:dyDescent="0.2">
      <c r="B62" s="31">
        <v>5</v>
      </c>
      <c r="C62" s="31" t="s">
        <v>14</v>
      </c>
      <c r="D62" s="36">
        <f>200</f>
        <v>200</v>
      </c>
      <c r="E62" s="31" t="s">
        <v>0</v>
      </c>
    </row>
    <row r="63" spans="2:5" x14ac:dyDescent="0.2">
      <c r="B63" s="31">
        <v>6</v>
      </c>
      <c r="C63" s="31" t="s">
        <v>18</v>
      </c>
      <c r="D63" s="36">
        <f>2500</f>
        <v>2500</v>
      </c>
      <c r="E63" s="31" t="s">
        <v>0</v>
      </c>
    </row>
    <row r="64" spans="2:5" x14ac:dyDescent="0.2">
      <c r="B64" s="31">
        <v>7</v>
      </c>
      <c r="C64" s="31" t="s">
        <v>16</v>
      </c>
      <c r="D64" s="36">
        <f>500</f>
        <v>500</v>
      </c>
      <c r="E64" s="31" t="s">
        <v>1</v>
      </c>
    </row>
    <row r="65" spans="2:6" x14ac:dyDescent="0.2">
      <c r="B65" s="31">
        <v>8</v>
      </c>
      <c r="C65" s="31" t="s">
        <v>28</v>
      </c>
      <c r="D65" s="36">
        <f>300</f>
        <v>300</v>
      </c>
      <c r="E65" s="31" t="s">
        <v>0</v>
      </c>
    </row>
    <row r="66" spans="2:6" x14ac:dyDescent="0.2">
      <c r="B66" s="31">
        <v>9</v>
      </c>
      <c r="C66" s="31" t="s">
        <v>19</v>
      </c>
      <c r="D66" s="36">
        <f>800</f>
        <v>800</v>
      </c>
      <c r="E66" s="31" t="s">
        <v>1</v>
      </c>
    </row>
    <row r="67" spans="2:6" x14ac:dyDescent="0.2">
      <c r="B67" s="31">
        <v>10</v>
      </c>
      <c r="C67" s="31" t="s">
        <v>28</v>
      </c>
      <c r="D67" s="36">
        <f>500</f>
        <v>500</v>
      </c>
      <c r="E67" s="31" t="s">
        <v>0</v>
      </c>
    </row>
    <row r="68" spans="2:6" x14ac:dyDescent="0.2">
      <c r="B68" s="31">
        <v>11</v>
      </c>
      <c r="C68" s="31" t="s">
        <v>26</v>
      </c>
      <c r="D68" s="36">
        <f>500</f>
        <v>500</v>
      </c>
      <c r="E68" s="31" t="s">
        <v>1</v>
      </c>
    </row>
    <row r="69" spans="2:6" x14ac:dyDescent="0.2">
      <c r="B69" s="31">
        <v>12</v>
      </c>
      <c r="C69" s="31" t="s">
        <v>31</v>
      </c>
      <c r="D69" s="36">
        <f>10000</f>
        <v>10000</v>
      </c>
      <c r="E69" s="31" t="s">
        <v>1</v>
      </c>
    </row>
    <row r="70" spans="2:6" x14ac:dyDescent="0.2">
      <c r="B70" s="31">
        <v>13</v>
      </c>
      <c r="C70" s="31" t="s">
        <v>35</v>
      </c>
      <c r="D70" s="36">
        <f>100</f>
        <v>100</v>
      </c>
      <c r="E70" s="31" t="s">
        <v>1</v>
      </c>
    </row>
    <row r="71" spans="2:6" x14ac:dyDescent="0.2">
      <c r="B71" s="31">
        <v>14</v>
      </c>
      <c r="C71" s="31" t="s">
        <v>64</v>
      </c>
      <c r="D71" s="64">
        <f>100</f>
        <v>100</v>
      </c>
      <c r="E71" s="31" t="s">
        <v>0</v>
      </c>
      <c r="F71" s="31">
        <f>D71*80%</f>
        <v>80</v>
      </c>
    </row>
    <row r="72" spans="2:6" x14ac:dyDescent="0.2">
      <c r="B72" s="31">
        <v>15</v>
      </c>
      <c r="C72" s="31" t="s">
        <v>66</v>
      </c>
      <c r="D72" s="66">
        <f>K45*3.5%</f>
        <v>45.500000000000007</v>
      </c>
      <c r="E72" s="31" t="s">
        <v>0</v>
      </c>
    </row>
    <row r="73" spans="2:6" x14ac:dyDescent="0.2">
      <c r="B73" s="31">
        <v>16</v>
      </c>
      <c r="C73" s="31" t="s">
        <v>88</v>
      </c>
      <c r="D73" s="31">
        <f>20</f>
        <v>20</v>
      </c>
      <c r="E73" s="31" t="s">
        <v>1</v>
      </c>
    </row>
    <row r="74" spans="2:6" x14ac:dyDescent="0.2">
      <c r="B74" s="31">
        <v>17</v>
      </c>
      <c r="C74" s="31" t="s">
        <v>93</v>
      </c>
      <c r="D74" s="36">
        <f>100</f>
        <v>100</v>
      </c>
      <c r="E74" s="31" t="s">
        <v>1</v>
      </c>
      <c r="F74" s="75">
        <f>14*D74</f>
        <v>1400</v>
      </c>
    </row>
    <row r="75" spans="2:6" x14ac:dyDescent="0.2">
      <c r="D75" s="36"/>
    </row>
  </sheetData>
  <mergeCells count="8">
    <mergeCell ref="AA38:AB38"/>
    <mergeCell ref="O4:P4"/>
    <mergeCell ref="C4:D4"/>
    <mergeCell ref="C22:D22"/>
    <mergeCell ref="G22:H22"/>
    <mergeCell ref="G4:H4"/>
    <mergeCell ref="K4:L4"/>
    <mergeCell ref="K22:L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AF94C-BD47-0540-8066-969B1D38291E}">
  <dimension ref="B2:C14"/>
  <sheetViews>
    <sheetView zoomScale="165" zoomScaleNormal="165" workbookViewId="0">
      <selection activeCell="C9" sqref="C9"/>
    </sheetView>
  </sheetViews>
  <sheetFormatPr baseColWidth="10" defaultRowHeight="16" x14ac:dyDescent="0.2"/>
  <cols>
    <col min="2" max="2" width="20.83203125" bestFit="1" customWidth="1"/>
    <col min="3" max="3" width="9.5" bestFit="1" customWidth="1"/>
  </cols>
  <sheetData>
    <row r="2" spans="2:3" x14ac:dyDescent="0.2">
      <c r="B2" t="s">
        <v>20</v>
      </c>
      <c r="C2" s="1" t="s">
        <v>9</v>
      </c>
    </row>
    <row r="3" spans="2:3" x14ac:dyDescent="0.2">
      <c r="C3" s="1"/>
    </row>
    <row r="4" spans="2:3" x14ac:dyDescent="0.2">
      <c r="B4" t="s">
        <v>7</v>
      </c>
      <c r="C4" s="1">
        <f>ContaT!D64+ContaT!D66</f>
        <v>1300</v>
      </c>
    </row>
    <row r="5" spans="2:3" x14ac:dyDescent="0.2">
      <c r="B5" t="s">
        <v>66</v>
      </c>
      <c r="C5" s="1">
        <f>-ContaT!R45</f>
        <v>-45.500000000000007</v>
      </c>
    </row>
    <row r="6" spans="2:3" x14ac:dyDescent="0.2">
      <c r="B6" t="s">
        <v>21</v>
      </c>
      <c r="C6" s="1">
        <f>-ContaT!P13</f>
        <v>-800</v>
      </c>
    </row>
    <row r="7" spans="2:3" x14ac:dyDescent="0.2">
      <c r="B7" t="s">
        <v>67</v>
      </c>
      <c r="C7" s="1">
        <f>SUM(C4:C6)</f>
        <v>454.5</v>
      </c>
    </row>
    <row r="8" spans="2:3" x14ac:dyDescent="0.2">
      <c r="B8" t="s">
        <v>38</v>
      </c>
      <c r="C8" s="77">
        <f>SUM(C9:C10)</f>
        <v>-200</v>
      </c>
    </row>
    <row r="9" spans="2:3" x14ac:dyDescent="0.2">
      <c r="B9" t="s">
        <v>64</v>
      </c>
      <c r="C9" s="77">
        <f>-ContaT!N45</f>
        <v>-100</v>
      </c>
    </row>
    <row r="10" spans="2:3" x14ac:dyDescent="0.2">
      <c r="B10" t="s">
        <v>95</v>
      </c>
      <c r="C10" s="77">
        <f>-ContaT!D74</f>
        <v>-100</v>
      </c>
    </row>
    <row r="11" spans="2:3" x14ac:dyDescent="0.2">
      <c r="B11" t="s">
        <v>39</v>
      </c>
      <c r="C11" s="1">
        <f>SUM(C7:C8)</f>
        <v>254.5</v>
      </c>
    </row>
    <row r="12" spans="2:3" x14ac:dyDescent="0.2">
      <c r="B12" t="s">
        <v>22</v>
      </c>
      <c r="C12" s="1">
        <f>-ContaT!C45</f>
        <v>-200</v>
      </c>
    </row>
    <row r="13" spans="2:3" x14ac:dyDescent="0.2">
      <c r="B13" t="s">
        <v>34</v>
      </c>
      <c r="C13" s="1">
        <f>ContaT!AB45-ContaT!AA45</f>
        <v>-100</v>
      </c>
    </row>
    <row r="14" spans="2:3" x14ac:dyDescent="0.2">
      <c r="B14" t="s">
        <v>62</v>
      </c>
      <c r="C14" s="1">
        <f>SUM(C11:C13)</f>
        <v>-45.5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7CE72-7D60-CC4B-9818-54FEE3DBA4C8}">
  <dimension ref="B3:C27"/>
  <sheetViews>
    <sheetView workbookViewId="0">
      <selection activeCell="C20" sqref="C20"/>
    </sheetView>
  </sheetViews>
  <sheetFormatPr baseColWidth="10" defaultRowHeight="16" x14ac:dyDescent="0.2"/>
  <cols>
    <col min="2" max="2" width="26.6640625" bestFit="1" customWidth="1"/>
  </cols>
  <sheetData>
    <row r="3" spans="2:3" ht="17" thickBot="1" x14ac:dyDescent="0.25">
      <c r="B3" s="2" t="s">
        <v>23</v>
      </c>
      <c r="C3" s="5">
        <f>C4+C8</f>
        <v>26874.5</v>
      </c>
    </row>
    <row r="4" spans="2:3" ht="17" thickTop="1" x14ac:dyDescent="0.2">
      <c r="B4" s="7" t="s">
        <v>32</v>
      </c>
      <c r="C4" s="8">
        <f>SUM(C5:C7)</f>
        <v>20074.5</v>
      </c>
    </row>
    <row r="5" spans="2:3" x14ac:dyDescent="0.2">
      <c r="B5" t="s">
        <v>2</v>
      </c>
      <c r="C5" s="1">
        <f>ContaT!C13-ContaT!D13</f>
        <v>17074.5</v>
      </c>
    </row>
    <row r="6" spans="2:3" x14ac:dyDescent="0.2">
      <c r="B6" t="s">
        <v>24</v>
      </c>
      <c r="C6" s="1">
        <f>ContaT!X13</f>
        <v>800</v>
      </c>
    </row>
    <row r="7" spans="2:3" x14ac:dyDescent="0.2">
      <c r="B7" t="s">
        <v>17</v>
      </c>
      <c r="C7" s="1">
        <f>ContaT!O13-ContaT!P13</f>
        <v>2200</v>
      </c>
    </row>
    <row r="8" spans="2:3" x14ac:dyDescent="0.2">
      <c r="B8" s="10" t="s">
        <v>33</v>
      </c>
      <c r="C8" s="3">
        <f>SUM(C9:C12)</f>
        <v>6800</v>
      </c>
    </row>
    <row r="9" spans="2:3" x14ac:dyDescent="0.2">
      <c r="B9" t="s">
        <v>94</v>
      </c>
      <c r="C9" s="3">
        <f>ContaT!AC5</f>
        <v>1400</v>
      </c>
    </row>
    <row r="10" spans="2:3" x14ac:dyDescent="0.2">
      <c r="B10" t="s">
        <v>5</v>
      </c>
      <c r="C10" s="1">
        <f>ContaT!G13</f>
        <v>2000</v>
      </c>
    </row>
    <row r="11" spans="2:3" x14ac:dyDescent="0.2">
      <c r="B11" t="s">
        <v>6</v>
      </c>
      <c r="C11" s="1">
        <f>ContaT!K13</f>
        <v>3500</v>
      </c>
    </row>
    <row r="12" spans="2:3" x14ac:dyDescent="0.2">
      <c r="B12" t="s">
        <v>34</v>
      </c>
      <c r="C12" s="1">
        <f>-ContaT!AA45</f>
        <v>-100</v>
      </c>
    </row>
    <row r="13" spans="2:3" x14ac:dyDescent="0.2">
      <c r="C13" s="1"/>
    </row>
    <row r="14" spans="2:3" ht="17" thickBot="1" x14ac:dyDescent="0.25">
      <c r="B14" s="2" t="s">
        <v>25</v>
      </c>
      <c r="C14" s="5">
        <f>C15+C19+C22</f>
        <v>26874.5</v>
      </c>
    </row>
    <row r="15" spans="2:3" ht="17" thickTop="1" x14ac:dyDescent="0.2">
      <c r="B15" s="7" t="s">
        <v>60</v>
      </c>
      <c r="C15" s="8">
        <f>SUM(C16:C18)</f>
        <v>5520</v>
      </c>
    </row>
    <row r="16" spans="2:3" x14ac:dyDescent="0.2">
      <c r="B16" t="s">
        <v>4</v>
      </c>
      <c r="C16" s="1">
        <f>-(ContaT!G29-ContaT!H29)</f>
        <v>5000</v>
      </c>
    </row>
    <row r="17" spans="2:3" x14ac:dyDescent="0.2">
      <c r="B17" t="s">
        <v>37</v>
      </c>
      <c r="C17" s="1">
        <f>-(ContaT!K29-ContaT!L29)</f>
        <v>500</v>
      </c>
    </row>
    <row r="18" spans="2:3" x14ac:dyDescent="0.2">
      <c r="B18" t="s">
        <v>90</v>
      </c>
      <c r="C18" s="1">
        <f>ContaT!D73</f>
        <v>20</v>
      </c>
    </row>
    <row r="19" spans="2:3" x14ac:dyDescent="0.2">
      <c r="B19" s="7" t="s">
        <v>59</v>
      </c>
      <c r="C19" s="3">
        <f>SUM(C20:C21)</f>
        <v>11400</v>
      </c>
    </row>
    <row r="20" spans="2:3" x14ac:dyDescent="0.2">
      <c r="B20" t="s">
        <v>94</v>
      </c>
      <c r="C20" s="78">
        <f>ContaT!AD29</f>
        <v>1400</v>
      </c>
    </row>
    <row r="21" spans="2:3" x14ac:dyDescent="0.2">
      <c r="B21" s="9" t="s">
        <v>31</v>
      </c>
      <c r="C21" s="1">
        <f>ContaT!P24</f>
        <v>10000</v>
      </c>
    </row>
    <row r="22" spans="2:3" x14ac:dyDescent="0.2">
      <c r="B22" s="4" t="s">
        <v>3</v>
      </c>
      <c r="C22" s="6">
        <f>SUM(C23:C24)</f>
        <v>9954.5</v>
      </c>
    </row>
    <row r="23" spans="2:3" x14ac:dyDescent="0.2">
      <c r="B23" t="s">
        <v>27</v>
      </c>
      <c r="C23" s="1">
        <f>-(ContaT!C29-ContaT!D29)</f>
        <v>10000</v>
      </c>
    </row>
    <row r="24" spans="2:3" x14ac:dyDescent="0.2">
      <c r="B24" t="s">
        <v>61</v>
      </c>
      <c r="C24" s="1">
        <f>DER!C14</f>
        <v>-45.5</v>
      </c>
    </row>
    <row r="27" spans="2:3" x14ac:dyDescent="0.2">
      <c r="B27" t="s">
        <v>63</v>
      </c>
      <c r="C27" s="62">
        <f>C14-C3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C00D8-E298-A246-831A-820B40C8E1E5}">
  <dimension ref="B3:E123"/>
  <sheetViews>
    <sheetView tabSelected="1" topLeftCell="A89" zoomScale="143" zoomScaleNormal="143" workbookViewId="0">
      <selection activeCell="I100" sqref="I100"/>
    </sheetView>
  </sheetViews>
  <sheetFormatPr baseColWidth="10" defaultRowHeight="16" x14ac:dyDescent="0.2"/>
  <cols>
    <col min="1" max="1" width="10.83203125" style="14"/>
    <col min="2" max="2" width="42.33203125" style="14" bestFit="1" customWidth="1"/>
    <col min="3" max="3" width="10.5" style="14" bestFit="1" customWidth="1"/>
    <col min="4" max="4" width="9.5" style="14" bestFit="1" customWidth="1"/>
    <col min="5" max="5" width="9.5" style="14" customWidth="1"/>
    <col min="6" max="6" width="7" style="14" bestFit="1" customWidth="1"/>
    <col min="7" max="16384" width="10.83203125" style="14"/>
  </cols>
  <sheetData>
    <row r="3" spans="2:5" x14ac:dyDescent="0.2">
      <c r="B3" s="11"/>
      <c r="C3" s="12"/>
      <c r="D3" s="12"/>
      <c r="E3" s="13"/>
    </row>
    <row r="4" spans="2:5" x14ac:dyDescent="0.2">
      <c r="B4" s="15" t="s">
        <v>40</v>
      </c>
      <c r="C4" s="16">
        <f>Balanco!$C$4*0</f>
        <v>0</v>
      </c>
      <c r="D4" s="17"/>
      <c r="E4" s="18" t="e">
        <f>C4/C5</f>
        <v>#DIV/0!</v>
      </c>
    </row>
    <row r="5" spans="2:5" x14ac:dyDescent="0.2">
      <c r="B5" s="19"/>
      <c r="C5" s="20">
        <f>Balanco!$C$15*0</f>
        <v>0</v>
      </c>
      <c r="D5" s="17"/>
      <c r="E5" s="21"/>
    </row>
    <row r="6" spans="2:5" x14ac:dyDescent="0.2">
      <c r="B6" s="19"/>
      <c r="C6" s="17"/>
      <c r="D6" s="17"/>
      <c r="E6" s="21"/>
    </row>
    <row r="7" spans="2:5" x14ac:dyDescent="0.2">
      <c r="B7" s="19"/>
      <c r="C7" s="17"/>
      <c r="D7" s="17"/>
      <c r="E7" s="21"/>
    </row>
    <row r="8" spans="2:5" x14ac:dyDescent="0.2">
      <c r="B8" s="19"/>
      <c r="C8" s="17"/>
      <c r="D8" s="17"/>
      <c r="E8" s="21"/>
    </row>
    <row r="9" spans="2:5" x14ac:dyDescent="0.2">
      <c r="B9" s="22"/>
      <c r="C9" s="23"/>
      <c r="D9" s="23"/>
      <c r="E9" s="24"/>
    </row>
    <row r="11" spans="2:5" x14ac:dyDescent="0.2">
      <c r="B11" s="11"/>
      <c r="C11" s="12"/>
      <c r="D11" s="12"/>
      <c r="E11" s="13"/>
    </row>
    <row r="12" spans="2:5" x14ac:dyDescent="0.2">
      <c r="B12" s="15" t="s">
        <v>41</v>
      </c>
      <c r="C12" s="16">
        <f>Balanco!$C$4*0</f>
        <v>0</v>
      </c>
      <c r="D12" s="16">
        <f>-Balanco!C7*0</f>
        <v>0</v>
      </c>
      <c r="E12" s="25" t="e">
        <f>(C12+D12)/C13</f>
        <v>#DIV/0!</v>
      </c>
    </row>
    <row r="13" spans="2:5" x14ac:dyDescent="0.2">
      <c r="B13" s="19"/>
      <c r="C13" s="20">
        <f>Balanco!$C$15*0</f>
        <v>0</v>
      </c>
      <c r="D13" s="17"/>
      <c r="E13" s="21"/>
    </row>
    <row r="14" spans="2:5" x14ac:dyDescent="0.2">
      <c r="B14" s="19"/>
      <c r="C14" s="17"/>
      <c r="D14" s="17"/>
      <c r="E14" s="21"/>
    </row>
    <row r="15" spans="2:5" x14ac:dyDescent="0.2">
      <c r="B15" s="19"/>
      <c r="C15" s="17"/>
      <c r="D15" s="17"/>
      <c r="E15" s="21"/>
    </row>
    <row r="16" spans="2:5" x14ac:dyDescent="0.2">
      <c r="B16" s="19"/>
      <c r="C16" s="17"/>
      <c r="D16" s="17"/>
      <c r="E16" s="21"/>
    </row>
    <row r="17" spans="2:5" x14ac:dyDescent="0.2">
      <c r="B17" s="22"/>
      <c r="C17" s="23"/>
      <c r="D17" s="23"/>
      <c r="E17" s="24"/>
    </row>
    <row r="19" spans="2:5" x14ac:dyDescent="0.2">
      <c r="B19" s="11"/>
      <c r="C19" s="12"/>
      <c r="D19" s="12"/>
      <c r="E19" s="13"/>
    </row>
    <row r="20" spans="2:5" x14ac:dyDescent="0.2">
      <c r="B20" s="15" t="s">
        <v>42</v>
      </c>
      <c r="C20" s="20">
        <f>Balanco!C4*0</f>
        <v>0</v>
      </c>
      <c r="D20" s="20">
        <f>-Balanco!C15*0</f>
        <v>0</v>
      </c>
      <c r="E20" s="26">
        <f>C20+D20</f>
        <v>0</v>
      </c>
    </row>
    <row r="21" spans="2:5" x14ac:dyDescent="0.2">
      <c r="B21" s="19"/>
      <c r="C21" s="17"/>
      <c r="D21" s="17"/>
      <c r="E21" s="21"/>
    </row>
    <row r="22" spans="2:5" x14ac:dyDescent="0.2">
      <c r="B22" s="19"/>
      <c r="C22" s="17"/>
      <c r="D22" s="17"/>
      <c r="E22" s="21"/>
    </row>
    <row r="23" spans="2:5" x14ac:dyDescent="0.2">
      <c r="B23" s="22"/>
      <c r="C23" s="23"/>
      <c r="D23" s="23"/>
      <c r="E23" s="24"/>
    </row>
    <row r="25" spans="2:5" x14ac:dyDescent="0.2">
      <c r="B25" s="11"/>
      <c r="C25" s="12"/>
      <c r="D25" s="12"/>
      <c r="E25" s="30"/>
    </row>
    <row r="26" spans="2:5" x14ac:dyDescent="0.2">
      <c r="B26" s="27" t="s">
        <v>43</v>
      </c>
      <c r="C26" s="16">
        <f>-DER!C6*0</f>
        <v>0</v>
      </c>
      <c r="D26" s="28"/>
      <c r="E26" s="18" t="e">
        <f>C26/C27</f>
        <v>#DIV/0!</v>
      </c>
    </row>
    <row r="27" spans="2:5" x14ac:dyDescent="0.2">
      <c r="B27" s="19"/>
      <c r="C27" s="20">
        <f>Balanco!C7*0</f>
        <v>0</v>
      </c>
      <c r="D27" s="17"/>
      <c r="E27" s="21"/>
    </row>
    <row r="28" spans="2:5" x14ac:dyDescent="0.2">
      <c r="B28" s="19"/>
      <c r="C28" s="17"/>
      <c r="D28" s="17"/>
      <c r="E28" s="21"/>
    </row>
    <row r="29" spans="2:5" x14ac:dyDescent="0.2">
      <c r="B29" s="19"/>
      <c r="C29" s="17"/>
      <c r="D29" s="17"/>
      <c r="E29" s="21"/>
    </row>
    <row r="30" spans="2:5" x14ac:dyDescent="0.2">
      <c r="B30" s="22"/>
      <c r="C30" s="23"/>
      <c r="D30" s="23"/>
      <c r="E30" s="24"/>
    </row>
    <row r="32" spans="2:5" x14ac:dyDescent="0.2">
      <c r="B32" s="11"/>
      <c r="C32" s="12"/>
      <c r="D32" s="12"/>
      <c r="E32" s="13"/>
    </row>
    <row r="33" spans="2:5" x14ac:dyDescent="0.2">
      <c r="B33" s="29" t="s">
        <v>44</v>
      </c>
      <c r="C33" s="16">
        <f>Balanco!C6*0</f>
        <v>0</v>
      </c>
      <c r="D33" s="23" t="s">
        <v>36</v>
      </c>
      <c r="E33" s="18" t="e">
        <f>(C33*360)/C34</f>
        <v>#DIV/0!</v>
      </c>
    </row>
    <row r="34" spans="2:5" x14ac:dyDescent="0.2">
      <c r="B34" s="19"/>
      <c r="C34" s="20">
        <f>DER!C4*0</f>
        <v>0</v>
      </c>
      <c r="E34" s="21"/>
    </row>
    <row r="35" spans="2:5" x14ac:dyDescent="0.2">
      <c r="B35" s="19"/>
      <c r="C35" s="17"/>
      <c r="D35" s="17"/>
      <c r="E35" s="21"/>
    </row>
    <row r="36" spans="2:5" x14ac:dyDescent="0.2">
      <c r="B36" s="19"/>
      <c r="C36" s="17"/>
      <c r="D36" s="17"/>
      <c r="E36" s="21"/>
    </row>
    <row r="37" spans="2:5" x14ac:dyDescent="0.2">
      <c r="B37" s="19"/>
      <c r="C37" s="17"/>
      <c r="D37" s="17"/>
      <c r="E37" s="21"/>
    </row>
    <row r="38" spans="2:5" x14ac:dyDescent="0.2">
      <c r="B38" s="22"/>
      <c r="C38" s="23"/>
      <c r="D38" s="23"/>
      <c r="E38" s="24"/>
    </row>
    <row r="39" spans="2:5" x14ac:dyDescent="0.2">
      <c r="B39" s="17"/>
      <c r="C39" s="17"/>
      <c r="D39" s="17"/>
      <c r="E39" s="17"/>
    </row>
    <row r="40" spans="2:5" x14ac:dyDescent="0.2">
      <c r="B40" s="11"/>
      <c r="C40" s="12"/>
      <c r="D40" s="12"/>
      <c r="E40" s="13"/>
    </row>
    <row r="41" spans="2:5" x14ac:dyDescent="0.2">
      <c r="B41" s="27" t="s">
        <v>45</v>
      </c>
      <c r="C41" s="16">
        <f>Balanco!C17*0</f>
        <v>0</v>
      </c>
      <c r="D41" s="23" t="s">
        <v>36</v>
      </c>
      <c r="E41" s="18" t="e">
        <f>(C41*360)/C42</f>
        <v>#DIV/0!</v>
      </c>
    </row>
    <row r="42" spans="2:5" x14ac:dyDescent="0.2">
      <c r="B42" s="19"/>
      <c r="C42" s="20">
        <f>ContaT!O13*0</f>
        <v>0</v>
      </c>
      <c r="E42" s="21"/>
    </row>
    <row r="43" spans="2:5" x14ac:dyDescent="0.2">
      <c r="B43" s="19"/>
      <c r="C43" s="17"/>
      <c r="D43" s="17"/>
      <c r="E43" s="21"/>
    </row>
    <row r="44" spans="2:5" x14ac:dyDescent="0.2">
      <c r="B44" s="19"/>
      <c r="C44" s="17"/>
      <c r="D44" s="17"/>
      <c r="E44" s="21"/>
    </row>
    <row r="45" spans="2:5" x14ac:dyDescent="0.2">
      <c r="B45" s="22"/>
      <c r="C45" s="23"/>
      <c r="D45" s="23"/>
      <c r="E45" s="24"/>
    </row>
    <row r="48" spans="2:5" x14ac:dyDescent="0.2">
      <c r="B48" s="11"/>
      <c r="C48" s="12"/>
      <c r="D48" s="12"/>
      <c r="E48" s="13"/>
    </row>
    <row r="49" spans="2:5" x14ac:dyDescent="0.2">
      <c r="B49" s="27" t="s">
        <v>46</v>
      </c>
      <c r="C49" s="16">
        <f>DER!$C$4*0</f>
        <v>0</v>
      </c>
      <c r="D49" s="17"/>
      <c r="E49" s="18" t="e">
        <f>C49/C50</f>
        <v>#DIV/0!</v>
      </c>
    </row>
    <row r="50" spans="2:5" x14ac:dyDescent="0.2">
      <c r="B50" s="19"/>
      <c r="C50" s="20">
        <f>Balanco!C3*0</f>
        <v>0</v>
      </c>
      <c r="D50" s="17"/>
      <c r="E50" s="21"/>
    </row>
    <row r="51" spans="2:5" x14ac:dyDescent="0.2">
      <c r="B51" s="19"/>
      <c r="C51" s="17"/>
      <c r="D51" s="17"/>
      <c r="E51" s="21"/>
    </row>
    <row r="52" spans="2:5" x14ac:dyDescent="0.2">
      <c r="B52" s="19"/>
      <c r="C52" s="17"/>
      <c r="D52" s="17"/>
      <c r="E52" s="21"/>
    </row>
    <row r="53" spans="2:5" x14ac:dyDescent="0.2">
      <c r="B53" s="22"/>
      <c r="C53" s="23"/>
      <c r="D53" s="23"/>
      <c r="E53" s="24"/>
    </row>
    <row r="55" spans="2:5" x14ac:dyDescent="0.2">
      <c r="B55" s="11"/>
      <c r="C55" s="12"/>
      <c r="D55" s="12"/>
      <c r="E55" s="13"/>
    </row>
    <row r="56" spans="2:5" x14ac:dyDescent="0.2">
      <c r="B56" s="27" t="s">
        <v>47</v>
      </c>
      <c r="C56" s="16">
        <f>DER!$C$4*0</f>
        <v>0</v>
      </c>
      <c r="D56" s="17"/>
      <c r="E56" s="18" t="e">
        <f>C56/C57</f>
        <v>#DIV/0!</v>
      </c>
    </row>
    <row r="57" spans="2:5" x14ac:dyDescent="0.2">
      <c r="B57" s="19"/>
      <c r="C57" s="20">
        <f>Balanco!C8*0</f>
        <v>0</v>
      </c>
      <c r="D57" s="17"/>
      <c r="E57" s="21"/>
    </row>
    <row r="58" spans="2:5" x14ac:dyDescent="0.2">
      <c r="B58" s="19"/>
      <c r="C58" s="17"/>
      <c r="D58" s="17"/>
      <c r="E58" s="21"/>
    </row>
    <row r="59" spans="2:5" x14ac:dyDescent="0.2">
      <c r="B59" s="22"/>
      <c r="C59" s="23"/>
      <c r="D59" s="23"/>
      <c r="E59" s="24"/>
    </row>
    <row r="63" spans="2:5" x14ac:dyDescent="0.2">
      <c r="B63" s="11"/>
      <c r="C63" s="12"/>
      <c r="D63" s="12"/>
      <c r="E63" s="13"/>
    </row>
    <row r="64" spans="2:5" x14ac:dyDescent="0.2">
      <c r="B64" s="27" t="s">
        <v>48</v>
      </c>
      <c r="C64" s="16">
        <f>(Balanco!C15+Balanco!C19)*0</f>
        <v>0</v>
      </c>
      <c r="D64" s="17"/>
      <c r="E64" s="18" t="e">
        <f>C64/C65</f>
        <v>#DIV/0!</v>
      </c>
    </row>
    <row r="65" spans="2:5" x14ac:dyDescent="0.2">
      <c r="B65" s="19"/>
      <c r="C65" s="20">
        <f>Balanco!C3*0</f>
        <v>0</v>
      </c>
      <c r="D65" s="17"/>
      <c r="E65" s="21"/>
    </row>
    <row r="66" spans="2:5" x14ac:dyDescent="0.2">
      <c r="B66" s="19"/>
      <c r="C66" s="17"/>
      <c r="D66" s="17"/>
      <c r="E66" s="21"/>
    </row>
    <row r="67" spans="2:5" x14ac:dyDescent="0.2">
      <c r="B67" s="19"/>
      <c r="C67" s="17"/>
      <c r="D67" s="17"/>
      <c r="E67" s="21"/>
    </row>
    <row r="68" spans="2:5" x14ac:dyDescent="0.2">
      <c r="B68" s="22"/>
      <c r="C68" s="23"/>
      <c r="D68" s="23"/>
      <c r="E68" s="24"/>
    </row>
    <row r="72" spans="2:5" x14ac:dyDescent="0.2">
      <c r="B72" s="11"/>
      <c r="C72" s="12"/>
      <c r="D72" s="12"/>
      <c r="E72" s="13"/>
    </row>
    <row r="73" spans="2:5" x14ac:dyDescent="0.2">
      <c r="B73" s="27" t="s">
        <v>49</v>
      </c>
      <c r="C73" s="20">
        <f>Balanco!C19*0</f>
        <v>0</v>
      </c>
      <c r="D73" s="17"/>
      <c r="E73" s="18" t="e">
        <f>C73/C74</f>
        <v>#DIV/0!</v>
      </c>
    </row>
    <row r="74" spans="2:5" x14ac:dyDescent="0.2">
      <c r="B74" s="19"/>
      <c r="C74" s="20">
        <f>Balanco!C22*0</f>
        <v>0</v>
      </c>
      <c r="D74" s="17"/>
      <c r="E74" s="21"/>
    </row>
    <row r="75" spans="2:5" x14ac:dyDescent="0.2">
      <c r="B75" s="19"/>
      <c r="C75" s="17"/>
      <c r="D75" s="17"/>
      <c r="E75" s="21"/>
    </row>
    <row r="76" spans="2:5" x14ac:dyDescent="0.2">
      <c r="B76" s="19"/>
      <c r="C76" s="17"/>
      <c r="D76" s="17"/>
      <c r="E76" s="21"/>
    </row>
    <row r="77" spans="2:5" x14ac:dyDescent="0.2">
      <c r="B77" s="22"/>
      <c r="C77" s="23"/>
      <c r="D77" s="23"/>
      <c r="E77" s="24"/>
    </row>
    <row r="81" spans="2:5" x14ac:dyDescent="0.2">
      <c r="B81" s="11"/>
      <c r="C81" s="12"/>
      <c r="D81" s="12"/>
      <c r="E81" s="13"/>
    </row>
    <row r="82" spans="2:5" x14ac:dyDescent="0.2">
      <c r="B82" s="27" t="s">
        <v>50</v>
      </c>
      <c r="C82" s="16">
        <f>DER!C11*0</f>
        <v>0</v>
      </c>
      <c r="D82" s="17"/>
      <c r="E82" s="18" t="e">
        <f>C82/C83</f>
        <v>#DIV/0!</v>
      </c>
    </row>
    <row r="83" spans="2:5" x14ac:dyDescent="0.2">
      <c r="B83" s="19"/>
      <c r="C83" s="20">
        <f>-DER!C12*0</f>
        <v>0</v>
      </c>
      <c r="D83" s="17"/>
      <c r="E83" s="21"/>
    </row>
    <row r="84" spans="2:5" x14ac:dyDescent="0.2">
      <c r="B84" s="19"/>
      <c r="C84" s="17"/>
      <c r="D84" s="17"/>
      <c r="E84" s="21"/>
    </row>
    <row r="85" spans="2:5" x14ac:dyDescent="0.2">
      <c r="B85" s="22"/>
      <c r="C85" s="23"/>
      <c r="D85" s="23"/>
      <c r="E85" s="24"/>
    </row>
    <row r="89" spans="2:5" x14ac:dyDescent="0.2">
      <c r="B89" s="11"/>
      <c r="C89" s="12"/>
      <c r="D89" s="12"/>
      <c r="E89" s="13"/>
    </row>
    <row r="90" spans="2:5" x14ac:dyDescent="0.2">
      <c r="B90" s="27" t="s">
        <v>51</v>
      </c>
      <c r="C90" s="67">
        <f>DER!C7*0</f>
        <v>0</v>
      </c>
      <c r="D90" s="17"/>
      <c r="E90" s="18" t="e">
        <f>C90/C91</f>
        <v>#DIV/0!</v>
      </c>
    </row>
    <row r="91" spans="2:5" x14ac:dyDescent="0.2">
      <c r="B91" s="19"/>
      <c r="C91" s="20">
        <f>DER!$C$4*0</f>
        <v>0</v>
      </c>
      <c r="D91" s="17"/>
      <c r="E91" s="21"/>
    </row>
    <row r="92" spans="2:5" x14ac:dyDescent="0.2">
      <c r="B92" s="19"/>
      <c r="C92" s="17"/>
      <c r="D92" s="17"/>
      <c r="E92" s="21"/>
    </row>
    <row r="93" spans="2:5" x14ac:dyDescent="0.2">
      <c r="B93" s="22"/>
      <c r="C93" s="23"/>
      <c r="D93" s="23"/>
      <c r="E93" s="24"/>
    </row>
    <row r="96" spans="2:5" x14ac:dyDescent="0.2">
      <c r="B96" s="11"/>
      <c r="C96" s="12"/>
      <c r="D96" s="12"/>
      <c r="E96" s="13"/>
    </row>
    <row r="97" spans="2:5" x14ac:dyDescent="0.2">
      <c r="B97" s="27" t="s">
        <v>52</v>
      </c>
      <c r="C97" s="16">
        <f>DER!$C$11*0</f>
        <v>0</v>
      </c>
      <c r="D97" s="17"/>
      <c r="E97" s="18" t="e">
        <f>C97/C98</f>
        <v>#DIV/0!</v>
      </c>
    </row>
    <row r="98" spans="2:5" x14ac:dyDescent="0.2">
      <c r="B98" s="19"/>
      <c r="C98" s="20">
        <f>DER!$C$4*0</f>
        <v>0</v>
      </c>
      <c r="D98" s="17"/>
      <c r="E98" s="21"/>
    </row>
    <row r="99" spans="2:5" x14ac:dyDescent="0.2">
      <c r="B99" s="19"/>
      <c r="C99" s="17"/>
      <c r="D99" s="17"/>
      <c r="E99" s="21"/>
    </row>
    <row r="100" spans="2:5" x14ac:dyDescent="0.2">
      <c r="B100" s="22"/>
      <c r="C100" s="23"/>
      <c r="D100" s="23"/>
      <c r="E100" s="24"/>
    </row>
    <row r="102" spans="2:5" x14ac:dyDescent="0.2">
      <c r="B102" s="11"/>
      <c r="C102" s="12"/>
      <c r="D102" s="12"/>
      <c r="E102" s="13"/>
    </row>
    <row r="103" spans="2:5" x14ac:dyDescent="0.2">
      <c r="B103" s="27" t="s">
        <v>53</v>
      </c>
      <c r="C103" s="16">
        <f>DER!C14*0</f>
        <v>0</v>
      </c>
      <c r="D103" s="17"/>
      <c r="E103" s="18" t="e">
        <f>C103/C104</f>
        <v>#DIV/0!</v>
      </c>
    </row>
    <row r="104" spans="2:5" x14ac:dyDescent="0.2">
      <c r="B104" s="19"/>
      <c r="C104" s="20">
        <f>DER!C4*0</f>
        <v>0</v>
      </c>
      <c r="D104" s="17"/>
      <c r="E104" s="21"/>
    </row>
    <row r="105" spans="2:5" x14ac:dyDescent="0.2">
      <c r="B105" s="19"/>
      <c r="C105" s="17"/>
      <c r="D105" s="17"/>
      <c r="E105" s="21"/>
    </row>
    <row r="106" spans="2:5" x14ac:dyDescent="0.2">
      <c r="B106" s="19"/>
      <c r="C106" s="17"/>
      <c r="D106" s="17"/>
      <c r="E106" s="21"/>
    </row>
    <row r="107" spans="2:5" x14ac:dyDescent="0.2">
      <c r="B107" s="22"/>
      <c r="C107" s="23"/>
      <c r="D107" s="23"/>
      <c r="E107" s="24"/>
    </row>
    <row r="110" spans="2:5" x14ac:dyDescent="0.2">
      <c r="B110" s="11"/>
      <c r="C110" s="12"/>
      <c r="D110" s="12"/>
      <c r="E110" s="13"/>
    </row>
    <row r="111" spans="2:5" x14ac:dyDescent="0.2">
      <c r="B111" s="27" t="s">
        <v>54</v>
      </c>
      <c r="C111" s="16">
        <f>DER!$C$14*0</f>
        <v>0</v>
      </c>
      <c r="D111" s="17"/>
      <c r="E111" s="18" t="e">
        <f>C111/C112</f>
        <v>#DIV/0!</v>
      </c>
    </row>
    <row r="112" spans="2:5" x14ac:dyDescent="0.2">
      <c r="B112" s="19"/>
      <c r="C112" s="20">
        <f>Balanco!C3*0</f>
        <v>0</v>
      </c>
      <c r="D112" s="17"/>
      <c r="E112" s="21"/>
    </row>
    <row r="113" spans="2:5" x14ac:dyDescent="0.2">
      <c r="B113" s="19"/>
      <c r="C113" s="17"/>
      <c r="D113" s="17"/>
      <c r="E113" s="21"/>
    </row>
    <row r="114" spans="2:5" x14ac:dyDescent="0.2">
      <c r="B114" s="19"/>
      <c r="C114" s="17"/>
      <c r="D114" s="17"/>
      <c r="E114" s="21"/>
    </row>
    <row r="115" spans="2:5" x14ac:dyDescent="0.2">
      <c r="B115" s="22"/>
      <c r="C115" s="23"/>
      <c r="D115" s="23"/>
      <c r="E115" s="24"/>
    </row>
    <row r="119" spans="2:5" x14ac:dyDescent="0.2">
      <c r="B119" s="11"/>
      <c r="C119" s="12"/>
      <c r="D119" s="12"/>
      <c r="E119" s="13"/>
    </row>
    <row r="120" spans="2:5" x14ac:dyDescent="0.2">
      <c r="B120" s="27" t="s">
        <v>55</v>
      </c>
      <c r="C120" s="16">
        <f>DER!$C$14*0</f>
        <v>0</v>
      </c>
      <c r="D120" s="17"/>
      <c r="E120" s="18" t="e">
        <f>C120/C121</f>
        <v>#DIV/0!</v>
      </c>
    </row>
    <row r="121" spans="2:5" x14ac:dyDescent="0.2">
      <c r="B121" s="19"/>
      <c r="C121" s="20">
        <f>Balanco!C22*0</f>
        <v>0</v>
      </c>
      <c r="D121" s="17"/>
      <c r="E121" s="21"/>
    </row>
    <row r="122" spans="2:5" x14ac:dyDescent="0.2">
      <c r="B122" s="19"/>
      <c r="C122" s="17"/>
      <c r="D122" s="17"/>
      <c r="E122" s="21"/>
    </row>
    <row r="123" spans="2:5" x14ac:dyDescent="0.2">
      <c r="B123" s="22"/>
      <c r="C123" s="23"/>
      <c r="D123" s="23"/>
      <c r="E123" s="2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9194A-5E9E-0D40-9847-C9D3EE457788}">
  <dimension ref="B2:W32"/>
  <sheetViews>
    <sheetView zoomScale="133" zoomScaleNormal="133" workbookViewId="0">
      <selection activeCell="C10" sqref="C10"/>
    </sheetView>
  </sheetViews>
  <sheetFormatPr baseColWidth="10" defaultRowHeight="16" x14ac:dyDescent="0.2"/>
  <cols>
    <col min="2" max="2" width="41.1640625" bestFit="1" customWidth="1"/>
    <col min="3" max="3" width="12.6640625" bestFit="1" customWidth="1"/>
    <col min="4" max="4" width="29.5" bestFit="1" customWidth="1"/>
  </cols>
  <sheetData>
    <row r="2" spans="2:23" x14ac:dyDescent="0.2">
      <c r="C2" t="s">
        <v>87</v>
      </c>
      <c r="D2" t="s">
        <v>74</v>
      </c>
    </row>
    <row r="3" spans="2:23" x14ac:dyDescent="0.2">
      <c r="B3" t="s">
        <v>68</v>
      </c>
      <c r="C3" s="72">
        <f>10000*0</f>
        <v>0</v>
      </c>
      <c r="D3">
        <v>20</v>
      </c>
      <c r="E3" s="69">
        <f>C3/D3</f>
        <v>0</v>
      </c>
    </row>
    <row r="4" spans="2:23" x14ac:dyDescent="0.2">
      <c r="B4" t="s">
        <v>69</v>
      </c>
      <c r="C4" s="72">
        <f>4000*0</f>
        <v>0</v>
      </c>
      <c r="D4">
        <v>20</v>
      </c>
      <c r="E4" s="69">
        <f t="shared" ref="E4:E7" si="0">C4/D4</f>
        <v>0</v>
      </c>
    </row>
    <row r="5" spans="2:23" x14ac:dyDescent="0.2">
      <c r="B5" t="s">
        <v>70</v>
      </c>
      <c r="C5" s="72">
        <f>2000*0</f>
        <v>0</v>
      </c>
      <c r="D5">
        <v>10</v>
      </c>
      <c r="E5" s="69">
        <f t="shared" si="0"/>
        <v>0</v>
      </c>
      <c r="F5" s="73"/>
    </row>
    <row r="6" spans="2:23" x14ac:dyDescent="0.2">
      <c r="B6" t="s">
        <v>71</v>
      </c>
      <c r="C6" s="72">
        <f>500*0</f>
        <v>0</v>
      </c>
      <c r="D6">
        <v>5</v>
      </c>
      <c r="E6" s="69">
        <f t="shared" si="0"/>
        <v>0</v>
      </c>
    </row>
    <row r="7" spans="2:23" x14ac:dyDescent="0.2">
      <c r="B7" t="s">
        <v>72</v>
      </c>
      <c r="C7" s="72">
        <f>750*0</f>
        <v>0</v>
      </c>
      <c r="D7">
        <v>5</v>
      </c>
      <c r="E7" s="69">
        <f t="shared" si="0"/>
        <v>0</v>
      </c>
    </row>
    <row r="9" spans="2:23" x14ac:dyDescent="0.2">
      <c r="B9" t="s">
        <v>91</v>
      </c>
      <c r="C9">
        <v>20</v>
      </c>
    </row>
    <row r="10" spans="2:23" x14ac:dyDescent="0.2">
      <c r="B10" t="s">
        <v>75</v>
      </c>
      <c r="C10" s="72">
        <f>2500*0</f>
        <v>0</v>
      </c>
    </row>
    <row r="11" spans="2:23" x14ac:dyDescent="0.2">
      <c r="B11" t="s">
        <v>76</v>
      </c>
      <c r="C11" s="70">
        <f>20%</f>
        <v>0.2</v>
      </c>
    </row>
    <row r="13" spans="2:23" x14ac:dyDescent="0.2">
      <c r="B13" t="s">
        <v>92</v>
      </c>
      <c r="C13">
        <v>500</v>
      </c>
    </row>
    <row r="15" spans="2:23" x14ac:dyDescent="0.2">
      <c r="B15" t="s">
        <v>77</v>
      </c>
      <c r="C15">
        <v>0</v>
      </c>
      <c r="D15">
        <v>1</v>
      </c>
      <c r="E15">
        <v>2</v>
      </c>
      <c r="F15">
        <v>3</v>
      </c>
      <c r="G15">
        <v>4</v>
      </c>
      <c r="H15">
        <v>5</v>
      </c>
      <c r="I15">
        <v>6</v>
      </c>
      <c r="J15">
        <v>7</v>
      </c>
      <c r="K15">
        <v>8</v>
      </c>
      <c r="L15">
        <v>9</v>
      </c>
      <c r="M15">
        <v>10</v>
      </c>
      <c r="N15">
        <v>11</v>
      </c>
      <c r="O15">
        <v>12</v>
      </c>
      <c r="P15">
        <v>13</v>
      </c>
      <c r="Q15">
        <v>14</v>
      </c>
      <c r="R15">
        <v>15</v>
      </c>
      <c r="S15">
        <v>16</v>
      </c>
      <c r="T15">
        <v>17</v>
      </c>
      <c r="U15">
        <v>18</v>
      </c>
      <c r="V15">
        <v>19</v>
      </c>
      <c r="W15">
        <v>20</v>
      </c>
    </row>
    <row r="17" spans="2:23" x14ac:dyDescent="0.2">
      <c r="B17" t="s">
        <v>29</v>
      </c>
      <c r="D17" s="69">
        <f>C10</f>
        <v>0</v>
      </c>
      <c r="E17" s="69">
        <f>D17</f>
        <v>0</v>
      </c>
      <c r="F17" s="69">
        <f t="shared" ref="F17:W17" si="1">E17</f>
        <v>0</v>
      </c>
      <c r="G17" s="69">
        <f t="shared" si="1"/>
        <v>0</v>
      </c>
      <c r="H17" s="69">
        <f t="shared" si="1"/>
        <v>0</v>
      </c>
      <c r="I17" s="69">
        <f t="shared" si="1"/>
        <v>0</v>
      </c>
      <c r="J17" s="69">
        <f t="shared" si="1"/>
        <v>0</v>
      </c>
      <c r="K17" s="69">
        <f t="shared" si="1"/>
        <v>0</v>
      </c>
      <c r="L17" s="69">
        <f t="shared" si="1"/>
        <v>0</v>
      </c>
      <c r="M17" s="69">
        <f t="shared" si="1"/>
        <v>0</v>
      </c>
      <c r="N17" s="69">
        <f t="shared" si="1"/>
        <v>0</v>
      </c>
      <c r="O17" s="69">
        <f t="shared" si="1"/>
        <v>0</v>
      </c>
      <c r="P17" s="69">
        <f t="shared" si="1"/>
        <v>0</v>
      </c>
      <c r="Q17" s="69">
        <f t="shared" si="1"/>
        <v>0</v>
      </c>
      <c r="R17" s="69">
        <f t="shared" si="1"/>
        <v>0</v>
      </c>
      <c r="S17" s="69">
        <f t="shared" si="1"/>
        <v>0</v>
      </c>
      <c r="T17" s="69">
        <f t="shared" si="1"/>
        <v>0</v>
      </c>
      <c r="U17" s="69">
        <f t="shared" si="1"/>
        <v>0</v>
      </c>
      <c r="V17" s="69">
        <f t="shared" si="1"/>
        <v>0</v>
      </c>
      <c r="W17" s="69">
        <f t="shared" si="1"/>
        <v>0</v>
      </c>
    </row>
    <row r="18" spans="2:23" x14ac:dyDescent="0.2">
      <c r="B18" t="s">
        <v>64</v>
      </c>
      <c r="C18">
        <f>-C13</f>
        <v>-500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</row>
    <row r="19" spans="2:23" x14ac:dyDescent="0.2">
      <c r="B19" t="s">
        <v>78</v>
      </c>
      <c r="D19" s="69">
        <f>-SUM($E3:$E5)-SUM($E$6:$E$7)</f>
        <v>0</v>
      </c>
      <c r="E19" s="69">
        <f t="shared" ref="E19:H19" si="2">-SUM($E3:$E5)-SUM($E$6:$E$7)</f>
        <v>0</v>
      </c>
      <c r="F19" s="69">
        <f t="shared" si="2"/>
        <v>0</v>
      </c>
      <c r="G19" s="69">
        <f t="shared" si="2"/>
        <v>0</v>
      </c>
      <c r="H19" s="69">
        <f t="shared" si="2"/>
        <v>0</v>
      </c>
      <c r="I19" s="69">
        <f t="shared" ref="I19:W19" si="3">-SUM($E3:$E5)</f>
        <v>0</v>
      </c>
      <c r="J19" s="69">
        <f t="shared" si="3"/>
        <v>0</v>
      </c>
      <c r="K19" s="69">
        <f t="shared" si="3"/>
        <v>0</v>
      </c>
      <c r="L19" s="69">
        <f t="shared" si="3"/>
        <v>0</v>
      </c>
      <c r="M19" s="69">
        <f t="shared" si="3"/>
        <v>0</v>
      </c>
      <c r="N19" s="69">
        <f t="shared" si="3"/>
        <v>0</v>
      </c>
      <c r="O19" s="69">
        <f t="shared" si="3"/>
        <v>0</v>
      </c>
      <c r="P19" s="69">
        <f t="shared" si="3"/>
        <v>0</v>
      </c>
      <c r="Q19" s="69">
        <f t="shared" si="3"/>
        <v>0</v>
      </c>
      <c r="R19" s="69">
        <f t="shared" si="3"/>
        <v>0</v>
      </c>
      <c r="S19" s="69">
        <f t="shared" si="3"/>
        <v>0</v>
      </c>
      <c r="T19" s="69">
        <f t="shared" si="3"/>
        <v>0</v>
      </c>
      <c r="U19" s="69">
        <f t="shared" si="3"/>
        <v>0</v>
      </c>
      <c r="V19" s="69">
        <f t="shared" si="3"/>
        <v>0</v>
      </c>
      <c r="W19" s="69">
        <f t="shared" si="3"/>
        <v>0</v>
      </c>
    </row>
    <row r="20" spans="2:23" x14ac:dyDescent="0.2">
      <c r="B20" t="s">
        <v>84</v>
      </c>
      <c r="C20" s="69">
        <f>SUM(C17:C19)</f>
        <v>-500</v>
      </c>
      <c r="D20" s="69">
        <f>SUM(D17:D19)</f>
        <v>0</v>
      </c>
      <c r="E20" s="69">
        <f t="shared" ref="E20:W20" si="4">SUM(E17:E19)</f>
        <v>0</v>
      </c>
      <c r="F20" s="69">
        <f t="shared" si="4"/>
        <v>0</v>
      </c>
      <c r="G20" s="69">
        <f t="shared" si="4"/>
        <v>0</v>
      </c>
      <c r="H20" s="69">
        <f t="shared" si="4"/>
        <v>0</v>
      </c>
      <c r="I20" s="69">
        <f t="shared" si="4"/>
        <v>0</v>
      </c>
      <c r="J20" s="69">
        <f t="shared" si="4"/>
        <v>0</v>
      </c>
      <c r="K20" s="69">
        <f t="shared" si="4"/>
        <v>0</v>
      </c>
      <c r="L20" s="69">
        <f t="shared" si="4"/>
        <v>0</v>
      </c>
      <c r="M20" s="69">
        <f t="shared" si="4"/>
        <v>0</v>
      </c>
      <c r="N20" s="69">
        <f t="shared" si="4"/>
        <v>0</v>
      </c>
      <c r="O20" s="69">
        <f t="shared" si="4"/>
        <v>0</v>
      </c>
      <c r="P20" s="69">
        <f t="shared" si="4"/>
        <v>0</v>
      </c>
      <c r="Q20" s="69">
        <f t="shared" si="4"/>
        <v>0</v>
      </c>
      <c r="R20" s="69">
        <f t="shared" si="4"/>
        <v>0</v>
      </c>
      <c r="S20" s="69">
        <f t="shared" si="4"/>
        <v>0</v>
      </c>
      <c r="T20" s="69">
        <f t="shared" si="4"/>
        <v>0</v>
      </c>
      <c r="U20" s="69">
        <f t="shared" si="4"/>
        <v>0</v>
      </c>
      <c r="V20" s="69">
        <f t="shared" si="4"/>
        <v>0</v>
      </c>
      <c r="W20" s="69">
        <f t="shared" si="4"/>
        <v>0</v>
      </c>
    </row>
    <row r="21" spans="2:23" x14ac:dyDescent="0.2">
      <c r="B21" t="s">
        <v>79</v>
      </c>
      <c r="C21" s="69">
        <f>-C20*$C$11</f>
        <v>100</v>
      </c>
      <c r="D21" s="69">
        <f>-D20*$C$11</f>
        <v>0</v>
      </c>
      <c r="E21" s="69">
        <f t="shared" ref="E21:W21" si="5">-E20*$C$11</f>
        <v>0</v>
      </c>
      <c r="F21" s="69">
        <f t="shared" si="5"/>
        <v>0</v>
      </c>
      <c r="G21" s="69">
        <f t="shared" si="5"/>
        <v>0</v>
      </c>
      <c r="H21" s="69">
        <f t="shared" si="5"/>
        <v>0</v>
      </c>
      <c r="I21" s="69">
        <f t="shared" si="5"/>
        <v>0</v>
      </c>
      <c r="J21" s="69">
        <f t="shared" si="5"/>
        <v>0</v>
      </c>
      <c r="K21" s="69">
        <f t="shared" si="5"/>
        <v>0</v>
      </c>
      <c r="L21" s="69">
        <f t="shared" si="5"/>
        <v>0</v>
      </c>
      <c r="M21" s="69">
        <f t="shared" si="5"/>
        <v>0</v>
      </c>
      <c r="N21" s="69">
        <f t="shared" si="5"/>
        <v>0</v>
      </c>
      <c r="O21" s="69">
        <f t="shared" si="5"/>
        <v>0</v>
      </c>
      <c r="P21" s="69">
        <f t="shared" si="5"/>
        <v>0</v>
      </c>
      <c r="Q21" s="69">
        <f t="shared" si="5"/>
        <v>0</v>
      </c>
      <c r="R21" s="69">
        <f t="shared" si="5"/>
        <v>0</v>
      </c>
      <c r="S21" s="69">
        <f t="shared" si="5"/>
        <v>0</v>
      </c>
      <c r="T21" s="69">
        <f t="shared" si="5"/>
        <v>0</v>
      </c>
      <c r="U21" s="69">
        <f t="shared" si="5"/>
        <v>0</v>
      </c>
      <c r="V21" s="69">
        <f t="shared" si="5"/>
        <v>0</v>
      </c>
      <c r="W21" s="69">
        <f t="shared" si="5"/>
        <v>0</v>
      </c>
    </row>
    <row r="22" spans="2:23" x14ac:dyDescent="0.2">
      <c r="B22" t="s">
        <v>82</v>
      </c>
      <c r="C22" s="69">
        <f>SUM(C20:C21)</f>
        <v>-400</v>
      </c>
      <c r="D22" s="69">
        <f>SUM(D20:D21)</f>
        <v>0</v>
      </c>
      <c r="E22" s="69">
        <f t="shared" ref="E22:W22" si="6">SUM(E20:E21)</f>
        <v>0</v>
      </c>
      <c r="F22" s="69">
        <f t="shared" si="6"/>
        <v>0</v>
      </c>
      <c r="G22" s="69">
        <f t="shared" si="6"/>
        <v>0</v>
      </c>
      <c r="H22" s="69">
        <f t="shared" si="6"/>
        <v>0</v>
      </c>
      <c r="I22" s="69">
        <f t="shared" si="6"/>
        <v>0</v>
      </c>
      <c r="J22" s="69">
        <f t="shared" si="6"/>
        <v>0</v>
      </c>
      <c r="K22" s="69">
        <f t="shared" si="6"/>
        <v>0</v>
      </c>
      <c r="L22" s="69">
        <f t="shared" si="6"/>
        <v>0</v>
      </c>
      <c r="M22" s="69">
        <f t="shared" si="6"/>
        <v>0</v>
      </c>
      <c r="N22" s="69">
        <f t="shared" si="6"/>
        <v>0</v>
      </c>
      <c r="O22" s="69">
        <f t="shared" si="6"/>
        <v>0</v>
      </c>
      <c r="P22" s="69">
        <f t="shared" si="6"/>
        <v>0</v>
      </c>
      <c r="Q22" s="69">
        <f t="shared" si="6"/>
        <v>0</v>
      </c>
      <c r="R22" s="69">
        <f t="shared" si="6"/>
        <v>0</v>
      </c>
      <c r="S22" s="69">
        <f t="shared" si="6"/>
        <v>0</v>
      </c>
      <c r="T22" s="69">
        <f t="shared" si="6"/>
        <v>0</v>
      </c>
      <c r="U22" s="69">
        <f t="shared" si="6"/>
        <v>0</v>
      </c>
      <c r="V22" s="69">
        <f t="shared" si="6"/>
        <v>0</v>
      </c>
      <c r="W22" s="69">
        <f t="shared" si="6"/>
        <v>0</v>
      </c>
    </row>
    <row r="24" spans="2:23" x14ac:dyDescent="0.2">
      <c r="B24" t="s">
        <v>83</v>
      </c>
    </row>
    <row r="26" spans="2:23" x14ac:dyDescent="0.2">
      <c r="B26" t="s">
        <v>73</v>
      </c>
      <c r="C26" s="69">
        <f>-SUM(C3:C7)</f>
        <v>0</v>
      </c>
      <c r="M26" s="69">
        <f>-C5</f>
        <v>0</v>
      </c>
      <c r="R26" s="69"/>
      <c r="W26" s="73"/>
    </row>
    <row r="27" spans="2:23" x14ac:dyDescent="0.2">
      <c r="B27" t="s">
        <v>85</v>
      </c>
      <c r="D27" s="69">
        <f>D22</f>
        <v>0</v>
      </c>
      <c r="E27" s="69">
        <f t="shared" ref="E27:W27" si="7">E22</f>
        <v>0</v>
      </c>
      <c r="F27" s="69">
        <f t="shared" si="7"/>
        <v>0</v>
      </c>
      <c r="G27" s="69">
        <f t="shared" si="7"/>
        <v>0</v>
      </c>
      <c r="H27" s="69">
        <f t="shared" si="7"/>
        <v>0</v>
      </c>
      <c r="I27" s="69">
        <f t="shared" si="7"/>
        <v>0</v>
      </c>
      <c r="J27" s="69">
        <f t="shared" si="7"/>
        <v>0</v>
      </c>
      <c r="K27" s="69">
        <f t="shared" si="7"/>
        <v>0</v>
      </c>
      <c r="L27" s="69">
        <f t="shared" si="7"/>
        <v>0</v>
      </c>
      <c r="M27" s="69">
        <f t="shared" si="7"/>
        <v>0</v>
      </c>
      <c r="N27" s="69">
        <f t="shared" si="7"/>
        <v>0</v>
      </c>
      <c r="O27" s="69">
        <f t="shared" si="7"/>
        <v>0</v>
      </c>
      <c r="P27" s="69">
        <f t="shared" si="7"/>
        <v>0</v>
      </c>
      <c r="Q27" s="69">
        <f t="shared" si="7"/>
        <v>0</v>
      </c>
      <c r="R27" s="69">
        <f t="shared" si="7"/>
        <v>0</v>
      </c>
      <c r="S27" s="69">
        <f t="shared" si="7"/>
        <v>0</v>
      </c>
      <c r="T27" s="69">
        <f t="shared" si="7"/>
        <v>0</v>
      </c>
      <c r="U27" s="69">
        <f t="shared" si="7"/>
        <v>0</v>
      </c>
      <c r="V27" s="69">
        <f t="shared" si="7"/>
        <v>0</v>
      </c>
      <c r="W27" s="69">
        <f t="shared" si="7"/>
        <v>0</v>
      </c>
    </row>
    <row r="28" spans="2:23" x14ac:dyDescent="0.2">
      <c r="B28" t="s">
        <v>78</v>
      </c>
      <c r="D28" s="69">
        <f>-D19</f>
        <v>0</v>
      </c>
      <c r="E28" s="69">
        <f t="shared" ref="E28:W28" si="8">-E19</f>
        <v>0</v>
      </c>
      <c r="F28" s="69">
        <f t="shared" si="8"/>
        <v>0</v>
      </c>
      <c r="G28" s="69">
        <f t="shared" si="8"/>
        <v>0</v>
      </c>
      <c r="H28" s="69">
        <f t="shared" si="8"/>
        <v>0</v>
      </c>
      <c r="I28" s="69">
        <f t="shared" si="8"/>
        <v>0</v>
      </c>
      <c r="J28" s="69">
        <f t="shared" si="8"/>
        <v>0</v>
      </c>
      <c r="K28" s="69">
        <f t="shared" si="8"/>
        <v>0</v>
      </c>
      <c r="L28" s="69">
        <f t="shared" si="8"/>
        <v>0</v>
      </c>
      <c r="M28" s="69">
        <f t="shared" si="8"/>
        <v>0</v>
      </c>
      <c r="N28" s="69">
        <f t="shared" si="8"/>
        <v>0</v>
      </c>
      <c r="O28" s="69">
        <f t="shared" si="8"/>
        <v>0</v>
      </c>
      <c r="P28" s="69">
        <f t="shared" si="8"/>
        <v>0</v>
      </c>
      <c r="Q28" s="69">
        <f t="shared" si="8"/>
        <v>0</v>
      </c>
      <c r="R28" s="69">
        <f t="shared" si="8"/>
        <v>0</v>
      </c>
      <c r="S28" s="69">
        <f t="shared" si="8"/>
        <v>0</v>
      </c>
      <c r="T28" s="69">
        <f t="shared" si="8"/>
        <v>0</v>
      </c>
      <c r="U28" s="69">
        <f t="shared" si="8"/>
        <v>0</v>
      </c>
      <c r="V28" s="69">
        <f t="shared" si="8"/>
        <v>0</v>
      </c>
      <c r="W28" s="69">
        <f t="shared" si="8"/>
        <v>0</v>
      </c>
    </row>
    <row r="29" spans="2:23" x14ac:dyDescent="0.2">
      <c r="B29" t="s">
        <v>86</v>
      </c>
      <c r="C29" s="68">
        <f>SUM(C26:C28)</f>
        <v>0</v>
      </c>
      <c r="D29" s="68">
        <f>SUM(D26:D28)</f>
        <v>0</v>
      </c>
      <c r="E29" s="68">
        <f t="shared" ref="E29:W29" si="9">SUM(E26:E28)</f>
        <v>0</v>
      </c>
      <c r="F29" s="68">
        <f t="shared" si="9"/>
        <v>0</v>
      </c>
      <c r="G29" s="68">
        <f t="shared" si="9"/>
        <v>0</v>
      </c>
      <c r="H29" s="68">
        <f t="shared" si="9"/>
        <v>0</v>
      </c>
      <c r="I29" s="68">
        <f t="shared" si="9"/>
        <v>0</v>
      </c>
      <c r="J29" s="68">
        <f t="shared" si="9"/>
        <v>0</v>
      </c>
      <c r="K29" s="68">
        <f t="shared" si="9"/>
        <v>0</v>
      </c>
      <c r="L29" s="68">
        <f t="shared" si="9"/>
        <v>0</v>
      </c>
      <c r="M29" s="68">
        <f t="shared" si="9"/>
        <v>0</v>
      </c>
      <c r="N29" s="68">
        <f t="shared" si="9"/>
        <v>0</v>
      </c>
      <c r="O29" s="68">
        <f t="shared" si="9"/>
        <v>0</v>
      </c>
      <c r="P29" s="68">
        <f t="shared" si="9"/>
        <v>0</v>
      </c>
      <c r="Q29" s="68">
        <f t="shared" si="9"/>
        <v>0</v>
      </c>
      <c r="R29" s="68">
        <f t="shared" si="9"/>
        <v>0</v>
      </c>
      <c r="S29" s="68">
        <f t="shared" si="9"/>
        <v>0</v>
      </c>
      <c r="T29" s="68">
        <f t="shared" si="9"/>
        <v>0</v>
      </c>
      <c r="U29" s="68">
        <f t="shared" si="9"/>
        <v>0</v>
      </c>
      <c r="V29" s="68">
        <f t="shared" si="9"/>
        <v>0</v>
      </c>
      <c r="W29" s="68">
        <f t="shared" si="9"/>
        <v>0</v>
      </c>
    </row>
    <row r="30" spans="2:23" x14ac:dyDescent="0.2">
      <c r="B30" t="s">
        <v>80</v>
      </c>
      <c r="C30" s="71">
        <f>NPV(C32,D29:W29)+C29</f>
        <v>0</v>
      </c>
    </row>
    <row r="32" spans="2:23" x14ac:dyDescent="0.2">
      <c r="B32" t="s">
        <v>81</v>
      </c>
      <c r="C32" s="70">
        <v>0.1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ContaT</vt:lpstr>
      <vt:lpstr>DER</vt:lpstr>
      <vt:lpstr>Balanco</vt:lpstr>
      <vt:lpstr>Indice</vt:lpstr>
      <vt:lpstr>FluxodeCaxiavsVPL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2020-06-11T16:56:42Z</dcterms:created>
  <dcterms:modified xsi:type="dcterms:W3CDTF">2021-03-03T16:01:19Z</dcterms:modified>
</cp:coreProperties>
</file>